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450" windowWidth="19155" windowHeight="7665"/>
  </bookViews>
  <sheets>
    <sheet name="CLEVIS CALCS" sheetId="1" r:id="rId1"/>
  </sheets>
  <definedNames>
    <definedName name="_xlnm._FilterDatabase" localSheetId="0" hidden="1">'CLEVIS CALCS'!$I$60:$I$62</definedName>
  </definedNames>
  <calcPr calcId="145621"/>
</workbook>
</file>

<file path=xl/calcChain.xml><?xml version="1.0" encoding="utf-8"?>
<calcChain xmlns="http://schemas.openxmlformats.org/spreadsheetml/2006/main">
  <c r="H31" i="1" l="1"/>
  <c r="AM39" i="1"/>
  <c r="U52" i="1" s="1"/>
  <c r="AM38" i="1"/>
  <c r="T52" i="1" s="1"/>
  <c r="AJ39" i="1"/>
  <c r="U45" i="1" s="1"/>
  <c r="AJ38" i="1"/>
  <c r="T45" i="1" s="1"/>
  <c r="AF39" i="1"/>
  <c r="U38" i="1" s="1"/>
  <c r="AF38" i="1"/>
  <c r="T38" i="1" s="1"/>
  <c r="AF36" i="1"/>
  <c r="U31" i="1" s="1"/>
  <c r="M31" i="1" s="1"/>
  <c r="AF35" i="1"/>
  <c r="T31" i="1" s="1"/>
  <c r="AL58" i="1"/>
  <c r="AJ58" i="1"/>
  <c r="AI58" i="1"/>
  <c r="AH58" i="1"/>
  <c r="AJ57" i="1"/>
  <c r="AI57" i="1"/>
  <c r="L31" i="1" l="1"/>
  <c r="K31" i="1"/>
  <c r="G53" i="1"/>
  <c r="F53" i="1"/>
  <c r="D53" i="1"/>
  <c r="G46" i="1"/>
  <c r="F46" i="1"/>
  <c r="D46" i="1"/>
  <c r="H38" i="1"/>
  <c r="O31" i="1" l="1"/>
  <c r="N31" i="1" s="1"/>
  <c r="M38" i="1"/>
  <c r="K38" i="1"/>
  <c r="M52" i="1"/>
  <c r="K52" i="1"/>
  <c r="AS48" i="1"/>
  <c r="AV21" i="1"/>
  <c r="AV22" i="1" s="1"/>
  <c r="AV16" i="1"/>
  <c r="AV19" i="1" s="1"/>
  <c r="AV15" i="1"/>
  <c r="AV18" i="1" s="1"/>
  <c r="K45" i="1"/>
  <c r="L38" i="1" l="1"/>
  <c r="O38" i="1" s="1"/>
  <c r="N38" i="1" s="1"/>
  <c r="M45" i="1"/>
  <c r="H52" i="1"/>
  <c r="L52" i="1" s="1"/>
  <c r="O52" i="1" s="1"/>
  <c r="N52" i="1" s="1"/>
  <c r="AI42" i="1" l="1"/>
  <c r="AI43" i="1"/>
  <c r="AI44" i="1"/>
  <c r="AI45" i="1"/>
  <c r="AI46" i="1"/>
  <c r="AI47" i="1"/>
  <c r="AI48" i="1"/>
  <c r="AI49" i="1"/>
  <c r="AI50" i="1"/>
  <c r="AH51" i="1"/>
  <c r="AI51" i="1"/>
  <c r="AI52" i="1"/>
  <c r="AH53" i="1"/>
  <c r="AI53" i="1"/>
  <c r="AH54" i="1"/>
  <c r="AI54" i="1"/>
  <c r="AH55" i="1"/>
  <c r="AI55" i="1"/>
  <c r="AO16" i="1" l="1"/>
  <c r="AR17" i="1"/>
  <c r="AL15" i="1"/>
  <c r="AL16" i="1"/>
  <c r="AL17" i="1" l="1"/>
  <c r="AO17" i="1"/>
  <c r="AO23" i="1" s="1"/>
  <c r="AL23" i="1"/>
  <c r="AL21" i="1" l="1"/>
  <c r="E46" i="1"/>
  <c r="AL18" i="1"/>
  <c r="AL20" i="1" s="1"/>
  <c r="AO18" i="1"/>
  <c r="AO21" i="1"/>
  <c r="AO20" i="1" l="1"/>
  <c r="AR16" i="1"/>
  <c r="AR18" i="1" l="1"/>
  <c r="AO24" i="1"/>
  <c r="AO25" i="1" s="1"/>
  <c r="AL22" i="1" l="1"/>
  <c r="H45" i="1" s="1"/>
  <c r="L45" i="1" s="1"/>
  <c r="O45" i="1" s="1"/>
  <c r="N45" i="1" s="1"/>
  <c r="AS53" i="1"/>
  <c r="AL24" i="1" l="1"/>
</calcChain>
</file>

<file path=xl/comments1.xml><?xml version="1.0" encoding="utf-8"?>
<comments xmlns="http://schemas.openxmlformats.org/spreadsheetml/2006/main">
  <authors>
    <author>Michael</author>
  </authors>
  <commentList>
    <comment ref="M29" authorId="0">
      <text>
        <r>
          <rPr>
            <b/>
            <sz val="9"/>
            <color indexed="81"/>
            <rFont val="Tahoma"/>
            <family val="2"/>
          </rPr>
          <t>Michael:
Divide this value by two if you just have one piece instead of a clevis.</t>
        </r>
      </text>
    </comment>
    <comment ref="M36" authorId="0">
      <text>
        <r>
          <rPr>
            <b/>
            <sz val="9"/>
            <color indexed="81"/>
            <rFont val="Tahoma"/>
            <family val="2"/>
          </rPr>
          <t>Michael:
Divide this value by two if you just have one piece instead of a clevis.</t>
        </r>
      </text>
    </comment>
    <comment ref="M43" authorId="0">
      <text>
        <r>
          <rPr>
            <b/>
            <sz val="9"/>
            <color indexed="81"/>
            <rFont val="Tahoma"/>
            <family val="2"/>
          </rPr>
          <t>Michael:
Divide this value by two if you just have one piece instead of a clevis.</t>
        </r>
      </text>
    </comment>
    <comment ref="M50" authorId="0">
      <text>
        <r>
          <rPr>
            <b/>
            <sz val="9"/>
            <color indexed="81"/>
            <rFont val="Tahoma"/>
            <family val="2"/>
          </rPr>
          <t>Michael:
Divide this value by two if you just have one piece instead of a clevis.</t>
        </r>
      </text>
    </comment>
  </commentList>
</comments>
</file>

<file path=xl/sharedStrings.xml><?xml version="1.0" encoding="utf-8"?>
<sst xmlns="http://schemas.openxmlformats.org/spreadsheetml/2006/main" count="231" uniqueCount="114">
  <si>
    <t>slot width</t>
  </si>
  <si>
    <t>in</t>
  </si>
  <si>
    <t>Yield</t>
  </si>
  <si>
    <t>lb</t>
  </si>
  <si>
    <t>psi</t>
  </si>
  <si>
    <t>d</t>
  </si>
  <si>
    <t>N</t>
  </si>
  <si>
    <t>L</t>
  </si>
  <si>
    <t>t</t>
  </si>
  <si>
    <t>stress = F/(2t*(L-d/2))</t>
  </si>
  <si>
    <t>HOLLOW ROUND CLEVIS</t>
  </si>
  <si>
    <t>thickness of sheet</t>
  </si>
  <si>
    <t>hole dia</t>
  </si>
  <si>
    <t xml:space="preserve"> </t>
  </si>
  <si>
    <t>Rated Shear Tear Force (yield)</t>
  </si>
  <si>
    <t>length from hole center to edge of plate</t>
  </si>
  <si>
    <t>material between hole edge and plate edge</t>
  </si>
  <si>
    <t>l=L-d/2</t>
  </si>
  <si>
    <t>(in)</t>
  </si>
  <si>
    <t>alloy</t>
  </si>
  <si>
    <t>dia</t>
  </si>
  <si>
    <t>pin</t>
  </si>
  <si>
    <t>x</t>
  </si>
  <si>
    <t>y</t>
  </si>
  <si>
    <t>theta</t>
  </si>
  <si>
    <t>deg</t>
  </si>
  <si>
    <t>a1</t>
  </si>
  <si>
    <t>a2</t>
  </si>
  <si>
    <t>working area</t>
  </si>
  <si>
    <t>r</t>
  </si>
  <si>
    <t>whole area</t>
  </si>
  <si>
    <t>x1</t>
  </si>
  <si>
    <t>y1</t>
  </si>
  <si>
    <t>theta1</t>
  </si>
  <si>
    <t>a3</t>
  </si>
  <si>
    <t>whole area cut</t>
  </si>
  <si>
    <t>Slot Width</t>
  </si>
  <si>
    <t>y2</t>
  </si>
  <si>
    <t>x2</t>
  </si>
  <si>
    <t>a5</t>
  </si>
  <si>
    <t>a4</t>
  </si>
  <si>
    <t>a?</t>
  </si>
  <si>
    <t>g</t>
  </si>
  <si>
    <t>Ab</t>
  </si>
  <si>
    <t>moved</t>
  </si>
  <si>
    <t>TGP 1045</t>
  </si>
  <si>
    <t>(psi)</t>
  </si>
  <si>
    <t>NA</t>
  </si>
  <si>
    <t>Polycarbinate</t>
  </si>
  <si>
    <t>PVC</t>
  </si>
  <si>
    <t>UHMW PE</t>
  </si>
  <si>
    <t>Bronze</t>
  </si>
  <si>
    <t>Cast Iron</t>
  </si>
  <si>
    <t>Copper</t>
  </si>
  <si>
    <t>A36</t>
  </si>
  <si>
    <t>Modulus of Rigidity</t>
  </si>
  <si>
    <t>Youngs modulus</t>
  </si>
  <si>
    <t>Density lb/in³</t>
  </si>
  <si>
    <t>Shear Strength (PSI)</t>
  </si>
  <si>
    <t>Yield Strength (PSI)</t>
  </si>
  <si>
    <t>Tensile Strength (PSI)</t>
  </si>
  <si>
    <t>match #</t>
  </si>
  <si>
    <t>(lbs)</t>
  </si>
  <si>
    <r>
      <t>(in)</t>
    </r>
    <r>
      <rPr>
        <b/>
        <vertAlign val="superscript"/>
        <sz val="10"/>
        <rFont val="Calibri"/>
        <family val="2"/>
        <scheme val="minor"/>
      </rPr>
      <t>2</t>
    </r>
  </si>
  <si>
    <t>Pin Material</t>
  </si>
  <si>
    <t>Clevis Yield Strength</t>
  </si>
  <si>
    <t>Clevis Outer Diameter</t>
  </si>
  <si>
    <t>Clevis Inner Diameter</t>
  </si>
  <si>
    <t>R1</t>
  </si>
  <si>
    <t>R2</t>
  </si>
  <si>
    <t>A1</t>
  </si>
  <si>
    <t>A2</t>
  </si>
  <si>
    <t>A3</t>
  </si>
  <si>
    <t>clevis 1</t>
  </si>
  <si>
    <t>pin 1</t>
  </si>
  <si>
    <t>clevis 2</t>
  </si>
  <si>
    <t>pin 2</t>
  </si>
  <si>
    <t>Pin Shear Strength</t>
  </si>
  <si>
    <t>t 
(thickness)</t>
  </si>
  <si>
    <t>clevis 3</t>
  </si>
  <si>
    <t>pin 3</t>
  </si>
  <si>
    <t xml:space="preserve">Clevis Yield Strength </t>
  </si>
  <si>
    <t>Top secret calculations area: move along folks nothing to see here.</t>
  </si>
  <si>
    <t>grade 1</t>
  </si>
  <si>
    <t>grade 2</t>
  </si>
  <si>
    <t>grade 5</t>
  </si>
  <si>
    <t>grade 8</t>
  </si>
  <si>
    <t>select material by clicking on cell below</t>
  </si>
  <si>
    <r>
      <t xml:space="preserve">Pin Rated Force </t>
    </r>
    <r>
      <rPr>
        <b/>
        <sz val="10"/>
        <rFont val="Calibri"/>
        <family val="2"/>
        <scheme val="minor"/>
      </rPr>
      <t>(pin in double shear)</t>
    </r>
  </si>
  <si>
    <t>Clevis Material</t>
  </si>
  <si>
    <t>SLOTTED ROUND CLEVIS</t>
  </si>
  <si>
    <t>~</t>
  </si>
  <si>
    <t>Effective Tensile Area</t>
  </si>
  <si>
    <t>w 
(width)</t>
  </si>
  <si>
    <t>Shear Tear Out</t>
  </si>
  <si>
    <t>Tensile Failure</t>
  </si>
  <si>
    <t>Pin Failure</t>
  </si>
  <si>
    <r>
      <t xml:space="preserve">Clevis Rated Shear Tear Force
 </t>
    </r>
    <r>
      <rPr>
        <b/>
        <sz val="10"/>
        <rFont val="Calibri"/>
        <family val="2"/>
        <scheme val="minor"/>
      </rPr>
      <t>(double shear)</t>
    </r>
  </si>
  <si>
    <r>
      <t xml:space="preserve">Clevis Rated Tensile Force
 </t>
    </r>
    <r>
      <rPr>
        <b/>
        <sz val="10"/>
        <rFont val="Calibri"/>
        <family val="2"/>
        <scheme val="minor"/>
      </rPr>
      <t>(double shear)</t>
    </r>
  </si>
  <si>
    <t>Max Rated Force of Entire Assembly</t>
  </si>
  <si>
    <t>Failure Mode</t>
  </si>
  <si>
    <r>
      <t xml:space="preserve">Variables are marked in </t>
    </r>
    <r>
      <rPr>
        <b/>
        <sz val="22"/>
        <color indexed="10"/>
        <rFont val="Calibri"/>
        <family val="2"/>
      </rPr>
      <t xml:space="preserve">RED BOLD. </t>
    </r>
    <r>
      <rPr>
        <b/>
        <sz val="22"/>
        <color theme="0"/>
        <rFont val="Calibri"/>
        <family val="2"/>
      </rPr>
      <t>Press TAB to cycle the cells!</t>
    </r>
  </si>
  <si>
    <r>
      <rPr>
        <b/>
        <sz val="12"/>
        <color theme="1"/>
        <rFont val="Calibri"/>
        <family val="2"/>
        <scheme val="minor"/>
      </rPr>
      <t>Immediate right:</t>
    </r>
    <r>
      <rPr>
        <sz val="12"/>
        <color theme="1"/>
        <rFont val="Calibri"/>
        <family val="2"/>
        <scheme val="minor"/>
      </rPr>
      <t xml:space="preserve"> A clevis can fail in one of two ways, shown at right. 
A third failure mode is possibke because the clevis pin itself can fail via shear loading. Since the load on a clevis pin is distributed to two places on the pin, its strength is doubled (This is known as double shear and the calculations already reflect this).
</t>
    </r>
    <r>
      <rPr>
        <b/>
        <sz val="12"/>
        <color theme="1"/>
        <rFont val="Calibri"/>
        <family val="2"/>
        <scheme val="minor"/>
      </rPr>
      <t xml:space="preserve"> Far right:</t>
    </r>
    <r>
      <rPr>
        <sz val="12"/>
        <color theme="1"/>
        <rFont val="Calibri"/>
        <family val="2"/>
        <scheme val="minor"/>
      </rPr>
      <t xml:space="preserve"> Input Dimensions needed for square clevis or sheet tear out. </t>
    </r>
  </si>
  <si>
    <t>SHEAR TEAR OUT FROM SHEET</t>
  </si>
  <si>
    <t>ABS</t>
  </si>
  <si>
    <t>PLA</t>
  </si>
  <si>
    <t>clevis 1/2</t>
  </si>
  <si>
    <t>pin 1/2</t>
  </si>
  <si>
    <r>
      <t xml:space="preserve">L 
</t>
    </r>
    <r>
      <rPr>
        <b/>
        <sz val="10"/>
        <rFont val="Calibri"/>
        <family val="2"/>
        <scheme val="minor"/>
      </rPr>
      <t>(center of hole to edge)</t>
    </r>
  </si>
  <si>
    <r>
      <t xml:space="preserve">D 
</t>
    </r>
    <r>
      <rPr>
        <b/>
        <sz val="10"/>
        <rFont val="Calibri"/>
        <family val="2"/>
        <scheme val="minor"/>
      </rPr>
      <t>(Pin Diameter)</t>
    </r>
  </si>
  <si>
    <r>
      <t xml:space="preserve">SHEAR TEAR OUT FROM SQUARE CLEVIS
</t>
    </r>
    <r>
      <rPr>
        <b/>
        <sz val="14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  <scheme val="minor"/>
      </rPr>
      <t>(This is the same as two sheets except the pin is in double shear ans so twice as strong)</t>
    </r>
  </si>
  <si>
    <r>
      <rPr>
        <b/>
        <sz val="12"/>
        <color theme="1"/>
        <rFont val="Calibri"/>
        <family val="2"/>
        <scheme val="minor"/>
      </rPr>
      <t xml:space="preserve">Good Clevis Design Practices: </t>
    </r>
    <r>
      <rPr>
        <sz val="12"/>
        <color theme="1"/>
        <rFont val="Calibri"/>
        <family val="2"/>
        <scheme val="minor"/>
      </rPr>
      <t xml:space="preserve">
   *Support the pin as much as possible within the slot (otherwise the pin will </t>
    </r>
    <r>
      <rPr>
        <i/>
        <u/>
        <sz val="12"/>
        <color theme="1"/>
        <rFont val="Calibri"/>
        <family val="2"/>
        <scheme val="minor"/>
      </rPr>
      <t>bend</t>
    </r>
    <r>
      <rPr>
        <sz val="12"/>
        <color theme="1"/>
        <rFont val="Calibri"/>
        <family val="2"/>
        <scheme val="minor"/>
      </rPr>
      <t xml:space="preserve">at lower loads); This is best done  by keeping the slot width small.
   *If you use a bolt as a pin, make sure only the shank is exposed within the slot (rather than the threads).
   *Reduce the rIsk of tear out failure with this rule of thumb: L </t>
    </r>
    <r>
      <rPr>
        <sz val="12"/>
        <color theme="1"/>
        <rFont val="Calibri"/>
        <family val="2"/>
      </rPr>
      <t>≥</t>
    </r>
    <r>
      <rPr>
        <sz val="10.199999999999999"/>
        <color theme="1"/>
        <rFont val="Calibri"/>
        <family val="2"/>
      </rPr>
      <t xml:space="preserve"> 1.5 D   &amp;   W ≥ 3 D   </t>
    </r>
    <r>
      <rPr>
        <sz val="12"/>
        <color theme="1"/>
        <rFont val="Calibri"/>
        <family val="2"/>
      </rPr>
      <t>(in reference to the drawing at below right)
   *The corners of your sheet can have a radius up to w/2 without affectig the strength of the sheet.</t>
    </r>
  </si>
  <si>
    <t>Clevis Rated Shear Tear Force</t>
  </si>
  <si>
    <t>Clevis Rated Tensile Force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</si>
</sst>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#,##0.000"/>
    <numFmt numFmtId="166" formatCode="#,##0.0000"/>
  </numFmts>
  <fonts count="2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6"/>
      <color theme="1"/>
      <name val="Calibri"/>
      <family val="2"/>
      <scheme val="minor"/>
    </font>
    <font>
      <sz val="22"/>
      <color theme="0"/>
      <name val="Calibri"/>
      <family val="2"/>
      <scheme val="minor"/>
    </font>
    <font>
      <b/>
      <sz val="22"/>
      <color indexed="10"/>
      <name val="Calibri"/>
      <family val="2"/>
    </font>
    <font>
      <b/>
      <sz val="12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Arial"/>
      <family val="2"/>
    </font>
    <font>
      <b/>
      <i/>
      <sz val="11"/>
      <color rgb="FF000000"/>
      <name val="Arial"/>
      <family val="2"/>
    </font>
    <font>
      <b/>
      <vertAlign val="superscript"/>
      <sz val="1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9"/>
      <color indexed="81"/>
      <name val="Tahoma"/>
      <family val="2"/>
    </font>
    <font>
      <b/>
      <sz val="20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</font>
    <font>
      <sz val="10.199999999999999"/>
      <color theme="1"/>
      <name val="Calibri"/>
      <family val="2"/>
    </font>
    <font>
      <sz val="16"/>
      <color theme="0"/>
      <name val="Calibri"/>
      <family val="2"/>
      <scheme val="minor"/>
    </font>
    <font>
      <i/>
      <u/>
      <sz val="12"/>
      <color theme="1"/>
      <name val="Calibri"/>
      <family val="2"/>
      <scheme val="minor"/>
    </font>
    <font>
      <b/>
      <sz val="22"/>
      <color theme="0"/>
      <name val="Calibri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7CE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/>
    <xf numFmtId="0" fontId="10" fillId="8" borderId="0" applyNumberFormat="0" applyBorder="0" applyAlignment="0" applyProtection="0"/>
  </cellStyleXfs>
  <cellXfs count="85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3" fontId="0" fillId="2" borderId="0" xfId="0" applyNumberFormat="1" applyFill="1" applyAlignment="1">
      <alignment horizontal="center"/>
    </xf>
    <xf numFmtId="0" fontId="1" fillId="3" borderId="0" xfId="0" applyFont="1" applyFill="1"/>
    <xf numFmtId="3" fontId="1" fillId="3" borderId="0" xfId="0" applyNumberFormat="1" applyFont="1" applyFill="1" applyAlignment="1">
      <alignment horizontal="center"/>
    </xf>
    <xf numFmtId="0" fontId="4" fillId="4" borderId="0" xfId="0" applyFont="1" applyFill="1"/>
    <xf numFmtId="0" fontId="0" fillId="0" borderId="0" xfId="0" applyFill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5" borderId="0" xfId="0" applyFill="1"/>
    <xf numFmtId="0" fontId="0" fillId="5" borderId="0" xfId="0" applyFill="1" applyAlignment="1">
      <alignment horizontal="right"/>
    </xf>
    <xf numFmtId="0" fontId="0" fillId="5" borderId="0" xfId="0" applyFill="1" applyAlignment="1">
      <alignment horizontal="center"/>
    </xf>
    <xf numFmtId="0" fontId="4" fillId="4" borderId="0" xfId="0" applyFont="1" applyFill="1" applyAlignment="1"/>
    <xf numFmtId="0" fontId="5" fillId="5" borderId="0" xfId="0" applyFont="1" applyFill="1" applyAlignment="1" applyProtection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164" fontId="9" fillId="7" borderId="1" xfId="0" applyNumberFormat="1" applyFont="1" applyFill="1" applyBorder="1" applyAlignment="1" applyProtection="1">
      <alignment horizontal="center" vertical="center"/>
      <protection locked="0"/>
    </xf>
    <xf numFmtId="0" fontId="3" fillId="5" borderId="0" xfId="0" applyFont="1" applyFill="1"/>
    <xf numFmtId="164" fontId="0" fillId="0" borderId="0" xfId="0" applyNumberFormat="1"/>
    <xf numFmtId="3" fontId="3" fillId="7" borderId="1" xfId="0" applyNumberFormat="1" applyFont="1" applyFill="1" applyBorder="1" applyAlignment="1">
      <alignment horizontal="center" vertical="center"/>
    </xf>
    <xf numFmtId="165" fontId="12" fillId="0" borderId="4" xfId="0" applyNumberFormat="1" applyFont="1" applyBorder="1" applyAlignment="1">
      <alignment horizontal="center" vertical="center" wrapText="1"/>
    </xf>
    <xf numFmtId="3" fontId="12" fillId="0" borderId="4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0" fillId="8" borderId="0" xfId="1"/>
    <xf numFmtId="0" fontId="4" fillId="0" borderId="0" xfId="0" applyFont="1" applyAlignment="1"/>
    <xf numFmtId="166" fontId="3" fillId="7" borderId="1" xfId="0" applyNumberFormat="1" applyFont="1" applyFill="1" applyBorder="1" applyAlignment="1">
      <alignment horizontal="center" vertical="center"/>
    </xf>
    <xf numFmtId="164" fontId="4" fillId="0" borderId="0" xfId="0" applyNumberFormat="1" applyFont="1" applyAlignment="1">
      <alignment horizontal="center"/>
    </xf>
    <xf numFmtId="0" fontId="5" fillId="5" borderId="0" xfId="0" applyFont="1" applyFill="1" applyAlignment="1" applyProtection="1">
      <alignment vertical="center" wrapText="1"/>
    </xf>
    <xf numFmtId="0" fontId="4" fillId="5" borderId="0" xfId="0" applyFont="1" applyFill="1" applyAlignment="1"/>
    <xf numFmtId="0" fontId="4" fillId="5" borderId="0" xfId="0" applyFont="1" applyFill="1" applyAlignment="1">
      <alignment horizontal="center"/>
    </xf>
    <xf numFmtId="3" fontId="0" fillId="5" borderId="0" xfId="0" applyNumberFormat="1" applyFill="1" applyAlignment="1">
      <alignment horizontal="center"/>
    </xf>
    <xf numFmtId="164" fontId="0" fillId="5" borderId="0" xfId="0" applyNumberFormat="1" applyFill="1" applyAlignment="1">
      <alignment horizontal="center"/>
    </xf>
    <xf numFmtId="0" fontId="2" fillId="5" borderId="0" xfId="0" applyFont="1" applyFill="1"/>
    <xf numFmtId="0" fontId="0" fillId="5" borderId="0" xfId="0" applyFill="1" applyAlignment="1">
      <alignment horizontal="left"/>
    </xf>
    <xf numFmtId="1" fontId="0" fillId="5" borderId="0" xfId="0" applyNumberFormat="1" applyFill="1"/>
    <xf numFmtId="0" fontId="15" fillId="0" borderId="0" xfId="0" applyFont="1" applyAlignment="1">
      <alignment horizontal="left" wrapText="1"/>
    </xf>
    <xf numFmtId="1" fontId="9" fillId="7" borderId="3" xfId="0" applyNumberFormat="1" applyFont="1" applyFill="1" applyBorder="1" applyAlignment="1" applyProtection="1">
      <alignment horizontal="center" vertical="center"/>
      <protection locked="0"/>
    </xf>
    <xf numFmtId="0" fontId="15" fillId="0" borderId="0" xfId="0" applyFont="1" applyAlignment="1">
      <alignment wrapText="1"/>
    </xf>
    <xf numFmtId="0" fontId="4" fillId="0" borderId="0" xfId="0" applyFont="1" applyFill="1" applyAlignment="1">
      <alignment horizontal="center"/>
    </xf>
    <xf numFmtId="0" fontId="15" fillId="0" borderId="0" xfId="0" applyFont="1" applyAlignment="1">
      <alignment horizontal="right" vertical="center" wrapText="1"/>
    </xf>
    <xf numFmtId="0" fontId="15" fillId="5" borderId="0" xfId="0" applyFont="1" applyFill="1" applyAlignment="1">
      <alignment horizontal="left" wrapText="1"/>
    </xf>
    <xf numFmtId="0" fontId="15" fillId="0" borderId="0" xfId="0" applyFont="1" applyBorder="1" applyAlignment="1">
      <alignment horizontal="right" vertical="center" wrapText="1"/>
    </xf>
    <xf numFmtId="0" fontId="15" fillId="0" borderId="0" xfId="0" applyFont="1" applyBorder="1" applyAlignment="1">
      <alignment horizontal="left" wrapText="1"/>
    </xf>
    <xf numFmtId="0" fontId="15" fillId="0" borderId="0" xfId="0" applyFont="1" applyBorder="1" applyAlignment="1">
      <alignment vertical="center" wrapText="1"/>
    </xf>
    <xf numFmtId="0" fontId="16" fillId="5" borderId="0" xfId="0" applyFont="1" applyFill="1" applyAlignment="1">
      <alignment vertical="top" wrapText="1"/>
    </xf>
    <xf numFmtId="165" fontId="3" fillId="7" borderId="1" xfId="0" applyNumberFormat="1" applyFont="1" applyFill="1" applyBorder="1" applyAlignment="1">
      <alignment horizontal="center" vertical="center"/>
    </xf>
    <xf numFmtId="3" fontId="11" fillId="7" borderId="1" xfId="0" applyNumberFormat="1" applyFont="1" applyFill="1" applyBorder="1" applyAlignment="1">
      <alignment horizontal="center" vertical="center"/>
    </xf>
    <xf numFmtId="0" fontId="20" fillId="0" borderId="0" xfId="0" applyFont="1" applyFill="1"/>
    <xf numFmtId="0" fontId="23" fillId="0" borderId="0" xfId="0" applyFont="1" applyAlignment="1">
      <alignment horizontal="center"/>
    </xf>
    <xf numFmtId="164" fontId="23" fillId="0" borderId="0" xfId="0" applyNumberFormat="1" applyFont="1" applyAlignment="1">
      <alignment horizontal="center"/>
    </xf>
    <xf numFmtId="0" fontId="7" fillId="5" borderId="1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3" fontId="3" fillId="5" borderId="1" xfId="0" applyNumberFormat="1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 wrapText="1"/>
    </xf>
    <xf numFmtId="0" fontId="11" fillId="4" borderId="3" xfId="0" applyFont="1" applyFill="1" applyBorder="1" applyAlignment="1">
      <alignment horizontal="center" vertical="center" wrapText="1"/>
    </xf>
    <xf numFmtId="0" fontId="11" fillId="4" borderId="2" xfId="0" applyFont="1" applyFill="1" applyBorder="1" applyAlignment="1">
      <alignment horizontal="center" vertical="center" wrapText="1"/>
    </xf>
    <xf numFmtId="0" fontId="17" fillId="4" borderId="0" xfId="0" applyFont="1" applyFill="1" applyAlignment="1">
      <alignment horizontal="center"/>
    </xf>
    <xf numFmtId="0" fontId="5" fillId="5" borderId="0" xfId="0" applyFont="1" applyFill="1" applyAlignment="1" applyProtection="1">
      <alignment horizontal="center" vertical="center" wrapText="1"/>
    </xf>
    <xf numFmtId="0" fontId="19" fillId="6" borderId="3" xfId="0" applyFont="1" applyFill="1" applyBorder="1" applyAlignment="1">
      <alignment horizontal="center" vertical="center" wrapText="1"/>
    </xf>
    <xf numFmtId="0" fontId="19" fillId="6" borderId="5" xfId="0" applyFont="1" applyFill="1" applyBorder="1" applyAlignment="1">
      <alignment horizontal="center" vertical="center" wrapText="1"/>
    </xf>
    <xf numFmtId="0" fontId="19" fillId="6" borderId="2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left" vertical="center" wrapText="1"/>
    </xf>
    <xf numFmtId="0" fontId="15" fillId="0" borderId="6" xfId="0" applyFont="1" applyBorder="1" applyAlignment="1">
      <alignment horizontal="left" vertical="center" wrapText="1"/>
    </xf>
    <xf numFmtId="0" fontId="15" fillId="0" borderId="7" xfId="0" applyFont="1" applyBorder="1" applyAlignment="1">
      <alignment horizontal="left" vertical="center" wrapText="1"/>
    </xf>
    <xf numFmtId="0" fontId="15" fillId="0" borderId="7" xfId="0" applyFont="1" applyBorder="1" applyAlignment="1">
      <alignment horizontal="right" vertical="center" wrapText="1"/>
    </xf>
    <xf numFmtId="0" fontId="15" fillId="0" borderId="7" xfId="0" applyFont="1" applyBorder="1" applyAlignment="1">
      <alignment vertical="center" wrapText="1"/>
    </xf>
    <xf numFmtId="0" fontId="15" fillId="0" borderId="7" xfId="0" applyFont="1" applyBorder="1" applyAlignment="1">
      <alignment horizontal="left" wrapText="1"/>
    </xf>
    <xf numFmtId="0" fontId="15" fillId="0" borderId="8" xfId="0" applyFont="1" applyBorder="1" applyAlignment="1">
      <alignment horizontal="left" wrapText="1"/>
    </xf>
    <xf numFmtId="0" fontId="15" fillId="0" borderId="9" xfId="0" applyFont="1" applyBorder="1" applyAlignment="1">
      <alignment horizontal="left" vertical="center" wrapText="1"/>
    </xf>
    <xf numFmtId="0" fontId="15" fillId="0" borderId="10" xfId="0" applyFont="1" applyBorder="1" applyAlignment="1">
      <alignment horizontal="left" wrapText="1"/>
    </xf>
    <xf numFmtId="0" fontId="15" fillId="0" borderId="11" xfId="0" applyFont="1" applyBorder="1" applyAlignment="1">
      <alignment horizontal="left" vertical="center" wrapText="1"/>
    </xf>
    <xf numFmtId="0" fontId="15" fillId="0" borderId="12" xfId="0" applyFont="1" applyBorder="1" applyAlignment="1">
      <alignment horizontal="left" vertical="center" wrapText="1"/>
    </xf>
    <xf numFmtId="0" fontId="15" fillId="0" borderId="12" xfId="0" applyFont="1" applyBorder="1" applyAlignment="1">
      <alignment horizontal="right" vertical="center" wrapText="1"/>
    </xf>
    <xf numFmtId="0" fontId="15" fillId="0" borderId="12" xfId="0" applyFont="1" applyBorder="1" applyAlignment="1">
      <alignment vertical="center" wrapText="1"/>
    </xf>
    <xf numFmtId="0" fontId="15" fillId="0" borderId="12" xfId="0" applyFont="1" applyBorder="1" applyAlignment="1">
      <alignment horizontal="left" wrapText="1"/>
    </xf>
    <xf numFmtId="0" fontId="15" fillId="0" borderId="13" xfId="0" applyFont="1" applyBorder="1" applyAlignment="1">
      <alignment horizontal="left" wrapText="1"/>
    </xf>
    <xf numFmtId="0" fontId="15" fillId="0" borderId="3" xfId="0" applyFont="1" applyBorder="1" applyAlignment="1">
      <alignment horizontal="left" wrapText="1"/>
    </xf>
    <xf numFmtId="0" fontId="15" fillId="0" borderId="5" xfId="0" applyFont="1" applyBorder="1" applyAlignment="1">
      <alignment horizontal="left" wrapText="1"/>
    </xf>
    <xf numFmtId="0" fontId="15" fillId="0" borderId="2" xfId="0" applyFont="1" applyBorder="1" applyAlignment="1">
      <alignment horizontal="left" wrapText="1"/>
    </xf>
    <xf numFmtId="0" fontId="15" fillId="5" borderId="0" xfId="0" applyFont="1" applyFill="1" applyAlignment="1">
      <alignment horizontal="right" vertical="center" wrapText="1"/>
    </xf>
    <xf numFmtId="1" fontId="13" fillId="0" borderId="4" xfId="0" applyNumberFormat="1" applyFont="1" applyBorder="1" applyAlignment="1" applyProtection="1">
      <alignment horizontal="center" vertical="center" wrapText="1"/>
    </xf>
    <xf numFmtId="3" fontId="12" fillId="0" borderId="4" xfId="0" applyNumberFormat="1" applyFont="1" applyBorder="1" applyAlignment="1" applyProtection="1">
      <alignment horizontal="center" vertical="center" wrapText="1"/>
    </xf>
    <xf numFmtId="165" fontId="12" fillId="0" borderId="4" xfId="0" applyNumberFormat="1" applyFont="1" applyBorder="1" applyAlignment="1" applyProtection="1">
      <alignment horizontal="center" vertical="center" wrapText="1"/>
    </xf>
  </cellXfs>
  <cellStyles count="2">
    <cellStyle name="Bad" xfId="1" builtinId="27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7.png"/><Relationship Id="rId3" Type="http://schemas.openxmlformats.org/officeDocument/2006/relationships/image" Target="../media/image2.png"/><Relationship Id="rId7" Type="http://schemas.openxmlformats.org/officeDocument/2006/relationships/image" Target="../media/image6.png"/><Relationship Id="rId2" Type="http://schemas.openxmlformats.org/officeDocument/2006/relationships/hyperlink" Target="http://www.EngineerDog.com" TargetMode="External"/><Relationship Id="rId1" Type="http://schemas.openxmlformats.org/officeDocument/2006/relationships/image" Target="../media/image1.png"/><Relationship Id="rId6" Type="http://schemas.openxmlformats.org/officeDocument/2006/relationships/image" Target="../media/image5.png"/><Relationship Id="rId5" Type="http://schemas.openxmlformats.org/officeDocument/2006/relationships/image" Target="../media/image4.png"/><Relationship Id="rId10" Type="http://schemas.openxmlformats.org/officeDocument/2006/relationships/image" Target="../media/image9.png"/><Relationship Id="rId4" Type="http://schemas.openxmlformats.org/officeDocument/2006/relationships/image" Target="../media/image3.png"/><Relationship Id="rId9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235321</xdr:colOff>
      <xdr:row>40</xdr:row>
      <xdr:rowOff>233641</xdr:rowOff>
    </xdr:from>
    <xdr:to>
      <xdr:col>2</xdr:col>
      <xdr:colOff>1072686</xdr:colOff>
      <xdr:row>45</xdr:row>
      <xdr:rowOff>7843</xdr:rowOff>
    </xdr:to>
    <xdr:pic>
      <xdr:nvPicPr>
        <xdr:cNvPr id="12" name="Picture 11"/>
        <xdr:cNvPicPr/>
      </xdr:nvPicPr>
      <xdr:blipFill rotWithShape="1">
        <a:blip xmlns:r="http://schemas.openxmlformats.org/officeDocument/2006/relationships" r:embed="rId1" cstate="print"/>
        <a:srcRect l="36916" t="24629" r="37323" b="3396"/>
        <a:stretch/>
      </xdr:blipFill>
      <xdr:spPr bwMode="auto">
        <a:xfrm>
          <a:off x="806821" y="13816291"/>
          <a:ext cx="1751765" cy="2250702"/>
        </a:xfrm>
        <a:prstGeom prst="rect">
          <a:avLst/>
        </a:prstGeom>
        <a:ln w="9525" cap="flat" cmpd="sng" algn="ctr">
          <a:solidFill>
            <a:sysClr val="windowText" lastClr="000000"/>
          </a:solidFill>
          <a:prstDash val="solid"/>
          <a:round/>
          <a:headEnd type="none" w="med" len="med"/>
          <a:tailEnd type="none" w="med" len="med"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877024</xdr:colOff>
      <xdr:row>0</xdr:row>
      <xdr:rowOff>210330</xdr:rowOff>
    </xdr:from>
    <xdr:to>
      <xdr:col>14</xdr:col>
      <xdr:colOff>571505</xdr:colOff>
      <xdr:row>12</xdr:row>
      <xdr:rowOff>24993</xdr:rowOff>
    </xdr:to>
    <xdr:pic>
      <xdr:nvPicPr>
        <xdr:cNvPr id="13" name="Picture 2">
          <a:hlinkClick xmlns:r="http://schemas.openxmlformats.org/officeDocument/2006/relationships" r:id="rId2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00289" y="210330"/>
          <a:ext cx="12928628" cy="2773016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89647</xdr:colOff>
      <xdr:row>34</xdr:row>
      <xdr:rowOff>11204</xdr:rowOff>
    </xdr:from>
    <xdr:to>
      <xdr:col>2</xdr:col>
      <xdr:colOff>1268629</xdr:colOff>
      <xdr:row>37</xdr:row>
      <xdr:rowOff>513790</xdr:rowOff>
    </xdr:to>
    <xdr:pic>
      <xdr:nvPicPr>
        <xdr:cNvPr id="20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 l="18119" t="9091" r="24870" b="8612"/>
        <a:stretch>
          <a:fillRect/>
        </a:stretch>
      </xdr:blipFill>
      <xdr:spPr bwMode="auto">
        <a:xfrm>
          <a:off x="661147" y="10612529"/>
          <a:ext cx="2093382" cy="2407586"/>
        </a:xfrm>
        <a:prstGeom prst="rect">
          <a:avLst/>
        </a:prstGeom>
        <a:ln w="9525" cap="flat" cmpd="sng" algn="ctr">
          <a:solidFill>
            <a:sysClr val="windowText" lastClr="000000"/>
          </a:solidFill>
          <a:prstDash val="solid"/>
          <a:round/>
          <a:headEnd type="none" w="med" len="med"/>
          <a:tailEnd type="none" w="med" len="med"/>
        </a:ln>
      </xdr:spPr>
    </xdr:pic>
    <xdr:clientData/>
  </xdr:twoCellAnchor>
  <xdr:twoCellAnchor editAs="oneCell">
    <xdr:from>
      <xdr:col>43</xdr:col>
      <xdr:colOff>67235</xdr:colOff>
      <xdr:row>37</xdr:row>
      <xdr:rowOff>302559</xdr:rowOff>
    </xdr:from>
    <xdr:to>
      <xdr:col>47</xdr:col>
      <xdr:colOff>406894</xdr:colOff>
      <xdr:row>42</xdr:row>
      <xdr:rowOff>375957</xdr:rowOff>
    </xdr:to>
    <xdr:pic>
      <xdr:nvPicPr>
        <xdr:cNvPr id="23" name="Picture 22"/>
        <xdr:cNvPicPr>
          <a:picLocks noChangeAspect="1"/>
        </xdr:cNvPicPr>
      </xdr:nvPicPr>
      <xdr:blipFill rotWithShape="1">
        <a:blip xmlns:r="http://schemas.openxmlformats.org/officeDocument/2006/relationships" r:embed="rId5" cstate="print"/>
        <a:srcRect l="23172" t="33403" r="53081" b="32218"/>
        <a:stretch/>
      </xdr:blipFill>
      <xdr:spPr>
        <a:xfrm>
          <a:off x="32665147" y="11441206"/>
          <a:ext cx="2760129" cy="2146487"/>
        </a:xfrm>
        <a:prstGeom prst="rect">
          <a:avLst/>
        </a:prstGeom>
      </xdr:spPr>
    </xdr:pic>
    <xdr:clientData/>
  </xdr:twoCellAnchor>
  <xdr:twoCellAnchor editAs="oneCell">
    <xdr:from>
      <xdr:col>1</xdr:col>
      <xdr:colOff>414615</xdr:colOff>
      <xdr:row>47</xdr:row>
      <xdr:rowOff>228040</xdr:rowOff>
    </xdr:from>
    <xdr:to>
      <xdr:col>2</xdr:col>
      <xdr:colOff>907674</xdr:colOff>
      <xdr:row>51</xdr:row>
      <xdr:rowOff>417654</xdr:rowOff>
    </xdr:to>
    <xdr:pic>
      <xdr:nvPicPr>
        <xdr:cNvPr id="8" name="Picture 7"/>
        <xdr:cNvPicPr/>
      </xdr:nvPicPr>
      <xdr:blipFill>
        <a:blip xmlns:r="http://schemas.openxmlformats.org/officeDocument/2006/relationships" r:embed="rId6" cstate="print"/>
        <a:srcRect l="42986" t="37591" r="42685" b="19596"/>
        <a:stretch>
          <a:fillRect/>
        </a:stretch>
      </xdr:blipFill>
      <xdr:spPr>
        <a:xfrm>
          <a:off x="986115" y="16782490"/>
          <a:ext cx="1407459" cy="2285114"/>
        </a:xfrm>
        <a:prstGeom prst="rect">
          <a:avLst/>
        </a:prstGeom>
        <a:ln w="9525" cap="flat" cmpd="sng" algn="ctr">
          <a:solidFill>
            <a:sysClr val="windowText" lastClr="000000"/>
          </a:solidFill>
          <a:prstDash val="solid"/>
          <a:round/>
          <a:headEnd type="none" w="med" len="med"/>
          <a:tailEnd type="none" w="med" len="med"/>
        </a:ln>
      </xdr:spPr>
    </xdr:pic>
    <xdr:clientData/>
  </xdr:twoCellAnchor>
  <xdr:twoCellAnchor editAs="oneCell">
    <xdr:from>
      <xdr:col>37</xdr:col>
      <xdr:colOff>923925</xdr:colOff>
      <xdr:row>67</xdr:row>
      <xdr:rowOff>0</xdr:rowOff>
    </xdr:from>
    <xdr:to>
      <xdr:col>40</xdr:col>
      <xdr:colOff>406088</xdr:colOff>
      <xdr:row>75</xdr:row>
      <xdr:rowOff>2401</xdr:rowOff>
    </xdr:to>
    <xdr:pic>
      <xdr:nvPicPr>
        <xdr:cNvPr id="10" name="Picture 9"/>
        <xdr:cNvPicPr/>
      </xdr:nvPicPr>
      <xdr:blipFill rotWithShape="1">
        <a:blip xmlns:r="http://schemas.openxmlformats.org/officeDocument/2006/relationships" r:embed="rId7" cstate="print"/>
        <a:srcRect l="45823" t="46336" r="34443" b="8636"/>
        <a:stretch/>
      </xdr:blipFill>
      <xdr:spPr bwMode="auto">
        <a:xfrm>
          <a:off x="31022925" y="22050375"/>
          <a:ext cx="1634813" cy="1983601"/>
        </a:xfrm>
        <a:prstGeom prst="rect">
          <a:avLst/>
        </a:prstGeom>
        <a:ln w="9525" cap="flat" cmpd="sng" algn="ctr">
          <a:solidFill>
            <a:sysClr val="windowText" lastClr="000000"/>
          </a:solidFill>
          <a:prstDash val="solid"/>
          <a:round/>
          <a:headEnd type="none" w="med" len="med"/>
          <a:tailEnd type="none" w="med" len="med"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6</xdr:col>
      <xdr:colOff>448228</xdr:colOff>
      <xdr:row>15</xdr:row>
      <xdr:rowOff>28204</xdr:rowOff>
    </xdr:from>
    <xdr:to>
      <xdr:col>10</xdr:col>
      <xdr:colOff>246524</xdr:colOff>
      <xdr:row>23</xdr:row>
      <xdr:rowOff>239476</xdr:rowOff>
    </xdr:to>
    <xdr:pic>
      <xdr:nvPicPr>
        <xdr:cNvPr id="15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5446052" y="4678645"/>
          <a:ext cx="4011707" cy="2362802"/>
        </a:xfrm>
        <a:prstGeom prst="rect">
          <a:avLst/>
        </a:prstGeom>
        <a:ln w="9525" cap="flat" cmpd="sng" algn="ctr">
          <a:solidFill>
            <a:sysClr val="windowText" lastClr="000000"/>
          </a:solidFill>
          <a:prstDash val="solid"/>
          <a:round/>
          <a:headEnd type="none" w="med" len="med"/>
          <a:tailEnd type="none" w="med" len="med"/>
        </a:ln>
      </xdr:spPr>
    </xdr:pic>
    <xdr:clientData/>
  </xdr:twoCellAnchor>
  <xdr:twoCellAnchor editAs="oneCell">
    <xdr:from>
      <xdr:col>10</xdr:col>
      <xdr:colOff>526677</xdr:colOff>
      <xdr:row>15</xdr:row>
      <xdr:rowOff>33617</xdr:rowOff>
    </xdr:from>
    <xdr:to>
      <xdr:col>14</xdr:col>
      <xdr:colOff>533852</xdr:colOff>
      <xdr:row>23</xdr:row>
      <xdr:rowOff>224116</xdr:rowOff>
    </xdr:to>
    <xdr:pic>
      <xdr:nvPicPr>
        <xdr:cNvPr id="17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 l="2019" t="9231" r="5645" b="-17"/>
        <a:stretch>
          <a:fillRect/>
        </a:stretch>
      </xdr:blipFill>
      <xdr:spPr bwMode="auto">
        <a:xfrm>
          <a:off x="9737912" y="4684058"/>
          <a:ext cx="4153352" cy="2342029"/>
        </a:xfrm>
        <a:prstGeom prst="rect">
          <a:avLst/>
        </a:prstGeom>
        <a:ln w="9525" cap="flat" cmpd="sng" algn="ctr">
          <a:solidFill>
            <a:sysClr val="windowText" lastClr="000000"/>
          </a:solidFill>
          <a:prstDash val="solid"/>
          <a:round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238125</xdr:colOff>
      <xdr:row>26</xdr:row>
      <xdr:rowOff>228600</xdr:rowOff>
    </xdr:from>
    <xdr:to>
      <xdr:col>2</xdr:col>
      <xdr:colOff>1066800</xdr:colOff>
      <xdr:row>30</xdr:row>
      <xdr:rowOff>329030</xdr:rowOff>
    </xdr:to>
    <xdr:pic>
      <xdr:nvPicPr>
        <xdr:cNvPr id="11" name="Picture 10"/>
        <xdr:cNvPicPr/>
      </xdr:nvPicPr>
      <xdr:blipFill rotWithShape="1">
        <a:blip xmlns:r="http://schemas.openxmlformats.org/officeDocument/2006/relationships" r:embed="rId10"/>
        <a:srcRect l="39423" t="31065" r="33173" b="11834"/>
        <a:stretch/>
      </xdr:blipFill>
      <xdr:spPr bwMode="auto">
        <a:xfrm>
          <a:off x="809625" y="7810500"/>
          <a:ext cx="1743075" cy="1967330"/>
        </a:xfrm>
        <a:prstGeom prst="rect">
          <a:avLst/>
        </a:prstGeom>
        <a:ln w="9525" cap="flat" cmpd="sng" algn="ctr">
          <a:solidFill>
            <a:sysClr val="windowText" lastClr="000000"/>
          </a:solidFill>
          <a:prstDash val="solid"/>
          <a:round/>
          <a:headEnd type="none" w="med" len="med"/>
          <a:tailEnd type="none" w="med" len="med"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A97"/>
  <sheetViews>
    <sheetView tabSelected="1" zoomScaleNormal="100" zoomScalePageLayoutView="85" workbookViewId="0">
      <selection activeCell="D31" sqref="D31"/>
    </sheetView>
  </sheetViews>
  <sheetFormatPr defaultRowHeight="19.5" customHeight="1" x14ac:dyDescent="0.25"/>
  <cols>
    <col min="1" max="1" width="8.5703125" style="11" customWidth="1"/>
    <col min="2" max="2" width="13.7109375" style="11" customWidth="1"/>
    <col min="3" max="3" width="20.5703125" style="11" customWidth="1"/>
    <col min="4" max="7" width="13" style="11" customWidth="1"/>
    <col min="8" max="8" width="15.7109375" style="11" customWidth="1"/>
    <col min="9" max="9" width="17.85546875" style="11" customWidth="1"/>
    <col min="10" max="10" width="16.7109375" style="12" customWidth="1"/>
    <col min="11" max="11" width="17.5703125" style="13" customWidth="1"/>
    <col min="12" max="12" width="14.85546875" style="11" customWidth="1"/>
    <col min="13" max="13" width="12.85546875" style="11" customWidth="1"/>
    <col min="14" max="15" width="16.85546875" style="11" customWidth="1"/>
    <col min="16" max="16" width="1.42578125" style="11" customWidth="1"/>
    <col min="17" max="17" width="3.28515625" style="11" customWidth="1"/>
    <col min="18" max="19" width="9.140625" style="11"/>
    <col min="20" max="20" width="13.85546875" style="11" customWidth="1"/>
    <col min="21" max="21" width="12.28515625" style="11" customWidth="1"/>
    <col min="22" max="23" width="9.140625" style="11"/>
    <col min="24" max="27" width="13.5703125" style="11" customWidth="1"/>
    <col min="28" max="28" width="13.42578125" style="11" customWidth="1"/>
    <col min="29" max="29" width="13.5703125" style="11" customWidth="1"/>
    <col min="30" max="30" width="9.140625" style="11"/>
    <col min="37" max="37" width="14.5703125" customWidth="1"/>
    <col min="38" max="38" width="14" customWidth="1"/>
  </cols>
  <sheetData>
    <row r="1" spans="1:53" s="11" customFormat="1" ht="19.5" customHeight="1" x14ac:dyDescent="0.25">
      <c r="J1" s="12"/>
      <c r="K1" s="13"/>
    </row>
    <row r="2" spans="1:53" s="11" customFormat="1" ht="19.5" customHeight="1" x14ac:dyDescent="0.25">
      <c r="J2" s="12"/>
      <c r="K2" s="13"/>
    </row>
    <row r="3" spans="1:53" s="11" customFormat="1" ht="19.5" customHeight="1" x14ac:dyDescent="0.25">
      <c r="J3" s="12"/>
      <c r="K3" s="13"/>
    </row>
    <row r="4" spans="1:53" s="11" customFormat="1" ht="19.5" customHeight="1" x14ac:dyDescent="0.25">
      <c r="J4" s="12"/>
      <c r="K4" s="13"/>
    </row>
    <row r="5" spans="1:53" s="11" customFormat="1" ht="19.5" customHeight="1" x14ac:dyDescent="0.25">
      <c r="J5" s="12"/>
      <c r="K5" s="13"/>
    </row>
    <row r="6" spans="1:53" s="11" customFormat="1" ht="19.5" customHeight="1" x14ac:dyDescent="0.25">
      <c r="J6" s="12"/>
      <c r="K6" s="13"/>
    </row>
    <row r="7" spans="1:53" s="11" customFormat="1" ht="19.5" customHeight="1" x14ac:dyDescent="0.25">
      <c r="J7" s="12"/>
      <c r="K7" s="13"/>
    </row>
    <row r="8" spans="1:53" s="11" customFormat="1" ht="19.5" customHeight="1" x14ac:dyDescent="0.25">
      <c r="J8" s="12"/>
      <c r="K8" s="13"/>
    </row>
    <row r="9" spans="1:53" s="11" customFormat="1" ht="19.5" customHeight="1" x14ac:dyDescent="0.25">
      <c r="J9" s="12"/>
      <c r="K9" s="13"/>
    </row>
    <row r="10" spans="1:53" s="11" customFormat="1" ht="19.5" customHeight="1" x14ac:dyDescent="0.25">
      <c r="J10" s="12"/>
      <c r="K10" s="13"/>
    </row>
    <row r="11" spans="1:53" s="11" customFormat="1" ht="19.5" customHeight="1" x14ac:dyDescent="0.25">
      <c r="J11" s="12"/>
      <c r="K11" s="13"/>
    </row>
    <row r="12" spans="1:53" s="11" customFormat="1" ht="19.5" customHeight="1" x14ac:dyDescent="0.25">
      <c r="J12" s="12"/>
      <c r="K12" s="13"/>
    </row>
    <row r="13" spans="1:53" s="7" customFormat="1" ht="40.5" customHeight="1" thickBot="1" x14ac:dyDescent="0.5">
      <c r="A13" s="59" t="s">
        <v>101</v>
      </c>
      <c r="B13" s="59"/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30"/>
      <c r="AE13" s="14"/>
      <c r="AF13" s="58" t="s">
        <v>82</v>
      </c>
      <c r="AG13" s="58"/>
      <c r="AH13" s="58"/>
      <c r="AI13" s="58"/>
      <c r="AJ13" s="58"/>
      <c r="AK13" s="58"/>
      <c r="AL13" s="58"/>
      <c r="AM13" s="58"/>
      <c r="AN13" s="58"/>
      <c r="AO13" s="58"/>
      <c r="AP13" s="58"/>
      <c r="AQ13" s="58"/>
      <c r="AR13" s="58"/>
      <c r="AS13" s="58"/>
      <c r="AT13" s="58"/>
    </row>
    <row r="14" spans="1:53" s="7" customFormat="1" ht="90" customHeight="1" thickBot="1" x14ac:dyDescent="0.4">
      <c r="A14" s="15"/>
      <c r="B14" s="78" t="s">
        <v>111</v>
      </c>
      <c r="C14" s="79"/>
      <c r="D14" s="79"/>
      <c r="E14" s="79"/>
      <c r="F14" s="79"/>
      <c r="G14" s="79"/>
      <c r="H14" s="79"/>
      <c r="I14" s="79"/>
      <c r="J14" s="79"/>
      <c r="K14" s="79"/>
      <c r="L14" s="79"/>
      <c r="M14" s="79"/>
      <c r="N14" s="79"/>
      <c r="O14" s="79"/>
      <c r="P14" s="80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/>
      <c r="AF14" s="1" t="s">
        <v>20</v>
      </c>
      <c r="AG14" t="s">
        <v>44</v>
      </c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</row>
    <row r="15" spans="1:53" s="7" customFormat="1" ht="21" customHeight="1" thickBot="1" x14ac:dyDescent="0.4">
      <c r="A15" s="15"/>
      <c r="B15" s="39"/>
      <c r="C15" s="39"/>
      <c r="D15" s="39"/>
      <c r="E15" s="39"/>
      <c r="F15" s="39"/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/>
      <c r="AF15"/>
      <c r="AG15" s="1" t="s">
        <v>0</v>
      </c>
      <c r="AH15" t="s">
        <v>44</v>
      </c>
      <c r="AI15"/>
      <c r="AJ15"/>
      <c r="AK15" t="s">
        <v>29</v>
      </c>
      <c r="AL15">
        <f>D45/2</f>
        <v>0.5</v>
      </c>
      <c r="AM15"/>
      <c r="AN15"/>
      <c r="AO15"/>
      <c r="AP15"/>
      <c r="AQ15"/>
      <c r="AR15"/>
      <c r="AS15"/>
      <c r="AT15"/>
      <c r="AU15" s="10" t="s">
        <v>68</v>
      </c>
      <c r="AV15" s="10">
        <f>D52/2</f>
        <v>0.5</v>
      </c>
      <c r="AW15"/>
      <c r="AX15"/>
      <c r="AY15"/>
      <c r="AZ15"/>
      <c r="BA15"/>
    </row>
    <row r="16" spans="1:53" ht="21" customHeight="1" x14ac:dyDescent="0.35">
      <c r="B16" s="64" t="s">
        <v>102</v>
      </c>
      <c r="C16" s="65"/>
      <c r="D16" s="65"/>
      <c r="E16" s="65"/>
      <c r="F16" s="65"/>
      <c r="G16" s="66"/>
      <c r="H16" s="67"/>
      <c r="I16" s="68"/>
      <c r="J16" s="68"/>
      <c r="K16" s="68"/>
      <c r="L16" s="68"/>
      <c r="M16" s="68"/>
      <c r="N16" s="68"/>
      <c r="O16" s="68"/>
      <c r="P16" s="69"/>
      <c r="Q16" s="30"/>
      <c r="R16" s="30"/>
      <c r="S16" s="30"/>
      <c r="Y16" s="31"/>
      <c r="Z16" s="31"/>
      <c r="AA16" s="31"/>
      <c r="AF16" s="1" t="s">
        <v>21</v>
      </c>
      <c r="AG16" t="s">
        <v>44</v>
      </c>
      <c r="AK16" t="s">
        <v>22</v>
      </c>
      <c r="AL16">
        <f>E45/2</f>
        <v>0.25</v>
      </c>
      <c r="AN16" t="s">
        <v>31</v>
      </c>
      <c r="AO16">
        <f>F45/2</f>
        <v>0.125</v>
      </c>
      <c r="AQ16" t="s">
        <v>38</v>
      </c>
      <c r="AR16">
        <f>AR17*TAN(RADIANS(AO18))</f>
        <v>6.4549722436790274E-2</v>
      </c>
      <c r="AU16" s="10" t="s">
        <v>69</v>
      </c>
      <c r="AV16" s="9">
        <f>E52/2</f>
        <v>0.25</v>
      </c>
    </row>
    <row r="17" spans="2:48" ht="24.75" customHeight="1" x14ac:dyDescent="0.35">
      <c r="B17" s="70"/>
      <c r="C17" s="63"/>
      <c r="D17" s="63"/>
      <c r="E17" s="63"/>
      <c r="F17" s="63"/>
      <c r="G17" s="43"/>
      <c r="H17" s="45"/>
      <c r="I17" s="44"/>
      <c r="J17" s="44"/>
      <c r="K17" s="44"/>
      <c r="L17" s="44"/>
      <c r="M17" s="44"/>
      <c r="N17" s="44"/>
      <c r="O17" s="44"/>
      <c r="P17" s="7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K17" t="s">
        <v>23</v>
      </c>
      <c r="AL17">
        <f>SQRT((D45/2)^2-(AL16)^2)</f>
        <v>0.4330127018922193</v>
      </c>
      <c r="AN17" t="s">
        <v>32</v>
      </c>
      <c r="AO17">
        <f>SQRT((AL15)^2-(AO16)^2)</f>
        <v>0.48412291827592713</v>
      </c>
      <c r="AQ17" t="s">
        <v>37</v>
      </c>
      <c r="AR17">
        <f>E45/2</f>
        <v>0.25</v>
      </c>
      <c r="AU17" s="9"/>
      <c r="AV17" s="9"/>
    </row>
    <row r="18" spans="2:48" ht="24.75" customHeight="1" x14ac:dyDescent="0.35">
      <c r="B18" s="70"/>
      <c r="C18" s="63"/>
      <c r="D18" s="63"/>
      <c r="E18" s="63"/>
      <c r="F18" s="63"/>
      <c r="G18" s="43"/>
      <c r="H18" s="45"/>
      <c r="I18" s="44"/>
      <c r="J18" s="44"/>
      <c r="K18" s="44"/>
      <c r="L18" s="44"/>
      <c r="M18" s="44"/>
      <c r="N18" s="44"/>
      <c r="O18" s="44"/>
      <c r="P18" s="7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K18" t="s">
        <v>24</v>
      </c>
      <c r="AL18">
        <f>DEGREES(ATAN((AL16)/(AL17)))</f>
        <v>30.000000000000004</v>
      </c>
      <c r="AM18" t="s">
        <v>25</v>
      </c>
      <c r="AN18" t="s">
        <v>33</v>
      </c>
      <c r="AO18" s="20">
        <f>DEGREES(ATAN((AO16)/(AO17)))</f>
        <v>14.477512185929925</v>
      </c>
      <c r="AQ18" t="s">
        <v>40</v>
      </c>
      <c r="AR18">
        <f>AR16*AR17/2</f>
        <v>8.0687153045987843E-3</v>
      </c>
      <c r="AU18" s="10" t="s">
        <v>70</v>
      </c>
      <c r="AV18" s="9">
        <f>PI()*AV15^2</f>
        <v>0.78539816339744828</v>
      </c>
    </row>
    <row r="19" spans="2:48" ht="19.5" customHeight="1" x14ac:dyDescent="0.35">
      <c r="B19" s="70"/>
      <c r="C19" s="63"/>
      <c r="D19" s="63"/>
      <c r="E19" s="63"/>
      <c r="F19" s="63"/>
      <c r="G19" s="43"/>
      <c r="H19" s="45"/>
      <c r="I19" s="44"/>
      <c r="J19" s="44"/>
      <c r="K19" s="44"/>
      <c r="L19" s="44"/>
      <c r="M19" s="44"/>
      <c r="N19" s="44"/>
      <c r="O19" s="44"/>
      <c r="P19" s="7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  <c r="AU19" s="10" t="s">
        <v>71</v>
      </c>
      <c r="AV19" s="10">
        <f>PI()*AV16^2</f>
        <v>0.19634954084936207</v>
      </c>
    </row>
    <row r="20" spans="2:48" ht="19.5" customHeight="1" x14ac:dyDescent="0.35">
      <c r="B20" s="70"/>
      <c r="C20" s="63"/>
      <c r="D20" s="63"/>
      <c r="E20" s="63"/>
      <c r="F20" s="63"/>
      <c r="G20" s="43"/>
      <c r="H20" s="45"/>
      <c r="I20" s="44"/>
      <c r="J20" s="44"/>
      <c r="K20" s="44"/>
      <c r="L20" s="44"/>
      <c r="M20" s="44"/>
      <c r="N20" s="44"/>
      <c r="O20" s="44"/>
      <c r="P20" s="7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K20" t="s">
        <v>26</v>
      </c>
      <c r="AL20">
        <f>AL18/360* PI()*(AL15)^2</f>
        <v>6.5449846949787366E-2</v>
      </c>
      <c r="AN20" t="s">
        <v>34</v>
      </c>
      <c r="AO20">
        <f>AO18/360* PI()*(AL15)^2</f>
        <v>3.1585031892759831E-2</v>
      </c>
      <c r="AU20" s="10"/>
      <c r="AV20" s="10"/>
    </row>
    <row r="21" spans="2:48" ht="24" customHeight="1" x14ac:dyDescent="0.35">
      <c r="B21" s="70"/>
      <c r="C21" s="63"/>
      <c r="D21" s="63"/>
      <c r="E21" s="63"/>
      <c r="F21" s="63"/>
      <c r="G21" s="43"/>
      <c r="H21" s="45"/>
      <c r="I21" s="44"/>
      <c r="J21" s="44"/>
      <c r="K21" s="44"/>
      <c r="L21" s="44"/>
      <c r="M21" s="44"/>
      <c r="N21" s="44"/>
      <c r="O21" s="44"/>
      <c r="P21" s="7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K21" t="s">
        <v>27</v>
      </c>
      <c r="AL21">
        <f>AL16*AL17/2</f>
        <v>5.4126587736527412E-2</v>
      </c>
      <c r="AN21" t="s">
        <v>41</v>
      </c>
      <c r="AO21">
        <f>AO16*AO17/2</f>
        <v>3.0257682392245445E-2</v>
      </c>
      <c r="AU21" s="10" t="s">
        <v>7</v>
      </c>
      <c r="AV21" s="28">
        <f>D52-E52</f>
        <v>0.5</v>
      </c>
    </row>
    <row r="22" spans="2:48" ht="18" customHeight="1" x14ac:dyDescent="0.35">
      <c r="B22" s="70"/>
      <c r="C22" s="63"/>
      <c r="D22" s="63"/>
      <c r="E22" s="63"/>
      <c r="F22" s="63"/>
      <c r="G22" s="43"/>
      <c r="H22" s="45"/>
      <c r="I22" s="44"/>
      <c r="J22" s="44"/>
      <c r="K22" s="44"/>
      <c r="L22" s="44"/>
      <c r="M22" s="44"/>
      <c r="N22" s="44"/>
      <c r="O22" s="44"/>
      <c r="P22" s="7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K22" t="s">
        <v>43</v>
      </c>
      <c r="AL22">
        <f>AO20+AO25-AR18</f>
        <v>3.059271428500528E-2</v>
      </c>
      <c r="AU22" s="10" t="s">
        <v>72</v>
      </c>
      <c r="AV22" s="10">
        <f>F52*AV21</f>
        <v>0.125</v>
      </c>
    </row>
    <row r="23" spans="2:48" ht="18.75" customHeight="1" x14ac:dyDescent="0.35">
      <c r="B23" s="70"/>
      <c r="C23" s="63"/>
      <c r="D23" s="63"/>
      <c r="E23" s="63"/>
      <c r="F23" s="63"/>
      <c r="G23" s="43"/>
      <c r="H23" s="45"/>
      <c r="I23" s="44"/>
      <c r="J23" s="44"/>
      <c r="K23" s="44"/>
      <c r="L23" s="44"/>
      <c r="M23" s="44"/>
      <c r="N23" s="44"/>
      <c r="O23" s="44"/>
      <c r="P23" s="7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K23" s="1" t="s">
        <v>30</v>
      </c>
      <c r="AL23">
        <f>PI()*AL15^2</f>
        <v>0.78539816339744828</v>
      </c>
      <c r="AN23" t="s">
        <v>42</v>
      </c>
      <c r="AO23">
        <f>AO17-AR17</f>
        <v>0.23412291827592713</v>
      </c>
    </row>
    <row r="24" spans="2:48" ht="21" customHeight="1" thickBot="1" x14ac:dyDescent="0.4">
      <c r="B24" s="72"/>
      <c r="C24" s="73"/>
      <c r="D24" s="73"/>
      <c r="E24" s="73"/>
      <c r="F24" s="73"/>
      <c r="G24" s="74"/>
      <c r="H24" s="75"/>
      <c r="I24" s="76"/>
      <c r="J24" s="76"/>
      <c r="K24" s="76"/>
      <c r="L24" s="76"/>
      <c r="M24" s="76"/>
      <c r="N24" s="76"/>
      <c r="O24" s="76"/>
      <c r="P24" s="77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K24" s="1" t="s">
        <v>35</v>
      </c>
      <c r="AL24">
        <f>SUM(AL20:AL22)</f>
        <v>0.15016914897132005</v>
      </c>
      <c r="AN24" t="s">
        <v>8</v>
      </c>
      <c r="AO24">
        <f>AO16-AR16</f>
        <v>6.0450277563209726E-2</v>
      </c>
    </row>
    <row r="25" spans="2:48" ht="19.5" customHeight="1" x14ac:dyDescent="0.35">
      <c r="B25" s="41"/>
      <c r="C25" s="41"/>
      <c r="D25" s="41"/>
      <c r="E25" s="41"/>
      <c r="F25" s="41"/>
      <c r="G25" s="41"/>
      <c r="H25" s="41"/>
      <c r="I25" s="37"/>
      <c r="J25" s="37"/>
      <c r="K25" s="37"/>
      <c r="L25" s="37"/>
      <c r="M25" s="37"/>
      <c r="N25" s="37"/>
      <c r="O25" s="37"/>
      <c r="P25" s="37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K25" s="1" t="s">
        <v>28</v>
      </c>
      <c r="AL25" t="s">
        <v>44</v>
      </c>
      <c r="AN25" t="s">
        <v>39</v>
      </c>
      <c r="AO25">
        <f>AO23*AO24/2</f>
        <v>7.0763976968442307E-3</v>
      </c>
    </row>
    <row r="26" spans="2:48" ht="19.5" customHeight="1" x14ac:dyDescent="0.35">
      <c r="D26" s="31"/>
      <c r="E26" s="31"/>
      <c r="F26" s="31"/>
      <c r="G26" s="31"/>
      <c r="I26" s="31"/>
      <c r="J26" s="11"/>
      <c r="K26" s="1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</row>
    <row r="27" spans="2:48" ht="19.5" customHeight="1" thickBot="1" x14ac:dyDescent="0.4">
      <c r="B27" s="41"/>
      <c r="C27" s="41"/>
      <c r="D27" s="41"/>
      <c r="E27" s="41"/>
      <c r="F27" s="41"/>
      <c r="G27" s="41"/>
      <c r="H27" s="41"/>
      <c r="I27" s="37"/>
      <c r="J27" s="37"/>
      <c r="K27" s="37"/>
      <c r="L27" s="37"/>
      <c r="M27" s="37"/>
      <c r="N27" s="37"/>
      <c r="O27" s="37"/>
      <c r="P27" s="37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</row>
    <row r="28" spans="2:48" ht="48.75" customHeight="1" thickBot="1" x14ac:dyDescent="0.4">
      <c r="B28" s="41"/>
      <c r="C28" s="41"/>
      <c r="D28" s="60" t="s">
        <v>103</v>
      </c>
      <c r="E28" s="61"/>
      <c r="F28" s="61"/>
      <c r="G28" s="61"/>
      <c r="H28" s="61"/>
      <c r="I28" s="61"/>
      <c r="J28" s="61"/>
      <c r="K28" s="61"/>
      <c r="L28" s="61"/>
      <c r="M28" s="61"/>
      <c r="N28" s="61"/>
      <c r="O28" s="62"/>
      <c r="P28" s="37"/>
      <c r="Q28" s="31"/>
      <c r="R28" s="31"/>
      <c r="S28" s="31"/>
      <c r="V28" s="31"/>
      <c r="W28" s="31"/>
      <c r="X28" s="31"/>
      <c r="Y28" s="31"/>
      <c r="Z28" s="31"/>
      <c r="AA28" s="31"/>
    </row>
    <row r="29" spans="2:48" ht="52.5" customHeight="1" thickBot="1" x14ac:dyDescent="0.4">
      <c r="B29" s="41"/>
      <c r="C29" s="41"/>
      <c r="D29" s="16" t="s">
        <v>78</v>
      </c>
      <c r="E29" s="16" t="s">
        <v>93</v>
      </c>
      <c r="F29" s="16" t="s">
        <v>109</v>
      </c>
      <c r="G29" s="16" t="s">
        <v>108</v>
      </c>
      <c r="H29" s="16" t="s">
        <v>92</v>
      </c>
      <c r="I29" s="16" t="s">
        <v>89</v>
      </c>
      <c r="J29" s="16" t="s">
        <v>64</v>
      </c>
      <c r="K29" s="16" t="s">
        <v>112</v>
      </c>
      <c r="L29" s="16" t="s">
        <v>113</v>
      </c>
      <c r="M29" s="16" t="s">
        <v>88</v>
      </c>
      <c r="N29" s="16" t="s">
        <v>100</v>
      </c>
      <c r="O29" s="16" t="s">
        <v>99</v>
      </c>
      <c r="P29" s="37"/>
      <c r="Q29" s="31"/>
      <c r="R29" s="31"/>
      <c r="S29" s="31"/>
      <c r="T29" s="52" t="s">
        <v>81</v>
      </c>
      <c r="U29" s="52" t="s">
        <v>77</v>
      </c>
      <c r="V29" s="31"/>
      <c r="W29" s="31"/>
      <c r="X29" s="31"/>
      <c r="Y29" s="31"/>
      <c r="Z29" s="31"/>
      <c r="AA29" s="31"/>
    </row>
    <row r="30" spans="2:48" ht="26.25" customHeight="1" thickBot="1" x14ac:dyDescent="0.4">
      <c r="B30" s="41"/>
      <c r="C30" s="41"/>
      <c r="D30" s="17" t="s">
        <v>18</v>
      </c>
      <c r="E30" s="17" t="s">
        <v>18</v>
      </c>
      <c r="F30" s="17" t="s">
        <v>18</v>
      </c>
      <c r="G30" s="17" t="s">
        <v>18</v>
      </c>
      <c r="H30" s="17" t="s">
        <v>63</v>
      </c>
      <c r="I30" s="56" t="s">
        <v>87</v>
      </c>
      <c r="J30" s="57"/>
      <c r="K30" s="17" t="s">
        <v>62</v>
      </c>
      <c r="L30" s="17" t="s">
        <v>62</v>
      </c>
      <c r="M30" s="17" t="s">
        <v>62</v>
      </c>
      <c r="N30" s="17" t="s">
        <v>91</v>
      </c>
      <c r="O30" s="17" t="s">
        <v>62</v>
      </c>
      <c r="P30" s="37"/>
      <c r="Q30" s="31"/>
      <c r="R30" s="31"/>
      <c r="S30" s="31"/>
      <c r="T30" s="53" t="s">
        <v>46</v>
      </c>
      <c r="U30" s="53" t="s">
        <v>46</v>
      </c>
      <c r="V30" s="31"/>
      <c r="W30" s="31"/>
      <c r="X30" s="31"/>
      <c r="Y30" s="31"/>
      <c r="Z30" s="31"/>
      <c r="AA30" s="31"/>
    </row>
    <row r="31" spans="2:48" ht="27.75" customHeight="1" thickBot="1" x14ac:dyDescent="0.4">
      <c r="B31" s="41"/>
      <c r="C31" s="41"/>
      <c r="D31" s="18">
        <v>0.375</v>
      </c>
      <c r="E31" s="18">
        <v>3</v>
      </c>
      <c r="F31" s="18">
        <v>0.5</v>
      </c>
      <c r="G31" s="18">
        <v>1.5</v>
      </c>
      <c r="H31" s="47">
        <f>(D31*(E31-F31))</f>
        <v>0.9375</v>
      </c>
      <c r="I31" s="38" t="s">
        <v>54</v>
      </c>
      <c r="J31" s="38" t="s">
        <v>85</v>
      </c>
      <c r="K31" s="21">
        <f>T31*D31*(G31-F31/2)</f>
        <v>16875</v>
      </c>
      <c r="L31" s="21">
        <f>T31*H31</f>
        <v>33750</v>
      </c>
      <c r="M31" s="21">
        <f>((U31*PI()*(F31^2)/4))</f>
        <v>18064.157758141311</v>
      </c>
      <c r="N31" s="48" t="str">
        <f>INDEX(K32:M32,MATCH(O31,K31:M31,0))</f>
        <v>Shear Tear Out</v>
      </c>
      <c r="O31" s="48">
        <f>MIN(K31:M31)</f>
        <v>16875</v>
      </c>
      <c r="P31" s="37"/>
      <c r="Q31" s="31"/>
      <c r="R31" s="31"/>
      <c r="S31" s="31"/>
      <c r="T31" s="54">
        <f>INDEX(AH42:AH180,'CLEVIS CALCS'!AF35)</f>
        <v>36000</v>
      </c>
      <c r="U31" s="54">
        <f>INDEX(AI42:AI180,'CLEVIS CALCS'!AF36)</f>
        <v>92000</v>
      </c>
      <c r="V31" s="31"/>
      <c r="W31" s="31"/>
      <c r="X31" s="31"/>
      <c r="Y31" s="31"/>
      <c r="Z31" s="31"/>
      <c r="AA31" s="31"/>
    </row>
    <row r="32" spans="2:48" ht="13.5" customHeight="1" x14ac:dyDescent="0.35">
      <c r="B32" s="41"/>
      <c r="C32" s="41"/>
      <c r="D32" s="41"/>
      <c r="E32" s="41"/>
      <c r="F32" s="41"/>
      <c r="G32" s="41"/>
      <c r="H32" s="41"/>
      <c r="I32" s="37"/>
      <c r="J32" s="37"/>
      <c r="K32" s="49" t="s">
        <v>94</v>
      </c>
      <c r="L32" s="49" t="s">
        <v>95</v>
      </c>
      <c r="M32" s="49" t="s">
        <v>96</v>
      </c>
      <c r="N32" s="37"/>
      <c r="O32" s="37"/>
      <c r="P32" s="37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</row>
    <row r="33" spans="1:47" ht="17.25" customHeight="1" x14ac:dyDescent="0.35">
      <c r="B33" s="81"/>
      <c r="C33" s="81"/>
      <c r="D33" s="81"/>
      <c r="E33" s="81"/>
      <c r="F33" s="81"/>
      <c r="G33" s="81"/>
      <c r="H33" s="81"/>
      <c r="I33" s="42"/>
      <c r="J33" s="42"/>
      <c r="K33" s="42"/>
      <c r="L33" s="42"/>
      <c r="M33" s="42"/>
      <c r="N33" s="42"/>
      <c r="O33" s="42"/>
      <c r="P33" s="42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</row>
    <row r="34" spans="1:47" ht="13.5" customHeight="1" thickBot="1" x14ac:dyDescent="0.4">
      <c r="B34"/>
      <c r="C34"/>
      <c r="D34" s="10"/>
      <c r="E34" s="10"/>
      <c r="F34" s="10"/>
      <c r="G34" s="10"/>
      <c r="H34" s="10"/>
      <c r="I34" s="10"/>
      <c r="J34" s="10"/>
      <c r="K34" s="10"/>
      <c r="L34"/>
      <c r="M34"/>
      <c r="N34" s="9"/>
      <c r="O34" s="10"/>
      <c r="P34" s="9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</row>
    <row r="35" spans="1:47" ht="60" customHeight="1" thickBot="1" x14ac:dyDescent="0.4">
      <c r="B35"/>
      <c r="C35"/>
      <c r="D35" s="60" t="s">
        <v>110</v>
      </c>
      <c r="E35" s="61"/>
      <c r="F35" s="61"/>
      <c r="G35" s="61"/>
      <c r="H35" s="61"/>
      <c r="I35" s="61"/>
      <c r="J35" s="61"/>
      <c r="K35" s="61"/>
      <c r="L35" s="61"/>
      <c r="M35" s="61"/>
      <c r="N35" s="61"/>
      <c r="O35" s="62"/>
      <c r="P35" s="9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F35" s="25">
        <f>MATCH('CLEVIS CALCS'!I31,AF42:AF62,0)</f>
        <v>4</v>
      </c>
      <c r="AG35" s="25" t="s">
        <v>61</v>
      </c>
      <c r="AH35" t="s">
        <v>106</v>
      </c>
    </row>
    <row r="36" spans="1:47" ht="61.5" customHeight="1" thickBot="1" x14ac:dyDescent="0.4">
      <c r="B36"/>
      <c r="C36"/>
      <c r="D36" s="16" t="s">
        <v>78</v>
      </c>
      <c r="E36" s="16" t="s">
        <v>93</v>
      </c>
      <c r="F36" s="16" t="s">
        <v>109</v>
      </c>
      <c r="G36" s="16" t="s">
        <v>108</v>
      </c>
      <c r="H36" s="16" t="s">
        <v>92</v>
      </c>
      <c r="I36" s="16" t="s">
        <v>89</v>
      </c>
      <c r="J36" s="16" t="s">
        <v>64</v>
      </c>
      <c r="K36" s="16" t="s">
        <v>97</v>
      </c>
      <c r="L36" s="16" t="s">
        <v>98</v>
      </c>
      <c r="M36" s="16" t="s">
        <v>88</v>
      </c>
      <c r="N36" s="16" t="s">
        <v>100</v>
      </c>
      <c r="O36" s="16" t="s">
        <v>99</v>
      </c>
      <c r="P36" s="9"/>
      <c r="Q36" s="31"/>
      <c r="R36" s="31"/>
      <c r="S36" s="31"/>
      <c r="T36" s="52" t="s">
        <v>81</v>
      </c>
      <c r="U36" s="52" t="s">
        <v>77</v>
      </c>
      <c r="V36" s="31"/>
      <c r="W36" s="31"/>
      <c r="X36" s="31"/>
      <c r="Y36" s="31"/>
      <c r="Z36" s="31"/>
      <c r="AA36" s="31"/>
      <c r="AF36" s="25">
        <f>MATCH('CLEVIS CALCS'!J31,AF42:AF62,0)</f>
        <v>19</v>
      </c>
      <c r="AG36" s="25" t="s">
        <v>61</v>
      </c>
      <c r="AH36" t="s">
        <v>107</v>
      </c>
    </row>
    <row r="37" spans="1:47" ht="28.5" customHeight="1" thickBot="1" x14ac:dyDescent="0.4">
      <c r="B37"/>
      <c r="C37"/>
      <c r="D37" s="17" t="s">
        <v>18</v>
      </c>
      <c r="E37" s="17" t="s">
        <v>18</v>
      </c>
      <c r="F37" s="17" t="s">
        <v>18</v>
      </c>
      <c r="G37" s="17" t="s">
        <v>18</v>
      </c>
      <c r="H37" s="17" t="s">
        <v>63</v>
      </c>
      <c r="I37" s="56" t="s">
        <v>87</v>
      </c>
      <c r="J37" s="57"/>
      <c r="K37" s="17" t="s">
        <v>62</v>
      </c>
      <c r="L37" s="17" t="s">
        <v>62</v>
      </c>
      <c r="M37" s="17" t="s">
        <v>62</v>
      </c>
      <c r="N37" s="17" t="s">
        <v>91</v>
      </c>
      <c r="O37" s="17" t="s">
        <v>62</v>
      </c>
      <c r="P37" s="9"/>
      <c r="Q37" s="31"/>
      <c r="R37" s="31"/>
      <c r="S37" s="31"/>
      <c r="T37" s="53" t="s">
        <v>46</v>
      </c>
      <c r="U37" s="53" t="s">
        <v>46</v>
      </c>
      <c r="V37" s="31"/>
      <c r="W37" s="31"/>
      <c r="X37" s="31"/>
      <c r="Y37" s="31"/>
      <c r="Z37" s="31"/>
      <c r="AA37" s="31"/>
      <c r="AI37" t="s">
        <v>13</v>
      </c>
    </row>
    <row r="38" spans="1:47" ht="40.5" customHeight="1" thickBot="1" x14ac:dyDescent="0.4">
      <c r="B38"/>
      <c r="C38"/>
      <c r="D38" s="18">
        <v>0.375</v>
      </c>
      <c r="E38" s="18">
        <v>3</v>
      </c>
      <c r="F38" s="18">
        <v>0.5</v>
      </c>
      <c r="G38" s="18">
        <v>1.5</v>
      </c>
      <c r="H38" s="47">
        <f>2*(D38*(E38-F38))</f>
        <v>1.875</v>
      </c>
      <c r="I38" s="38" t="s">
        <v>54</v>
      </c>
      <c r="J38" s="38" t="s">
        <v>19</v>
      </c>
      <c r="K38" s="21">
        <f>T38*2*D38*(G38-F38/2)</f>
        <v>33750</v>
      </c>
      <c r="L38" s="21">
        <f>T38*H38</f>
        <v>67500</v>
      </c>
      <c r="M38" s="21">
        <f>((U38*PI()*(F38^2)/4)*2)</f>
        <v>60082.959499904791</v>
      </c>
      <c r="N38" s="48" t="str">
        <f>INDEX(K39:M39,MATCH(O38,K38:M38,0))</f>
        <v>Shear Tear Out</v>
      </c>
      <c r="O38" s="48">
        <f>MIN(K38:M38)</f>
        <v>33750</v>
      </c>
      <c r="P38" s="9"/>
      <c r="Q38" s="31"/>
      <c r="R38" s="31"/>
      <c r="T38" s="54">
        <f>INDEX(AH42:AH180,'CLEVIS CALCS'!AF38)</f>
        <v>36000</v>
      </c>
      <c r="U38" s="54">
        <f>INDEX(AI42:AI180,'CLEVIS CALCS'!AF39)</f>
        <v>153000</v>
      </c>
      <c r="V38" s="31"/>
      <c r="W38" s="31"/>
      <c r="X38" s="31"/>
      <c r="Y38" s="31"/>
      <c r="Z38" s="31"/>
      <c r="AA38" s="31"/>
      <c r="AF38" s="25">
        <f>MATCH('CLEVIS CALCS'!I38,AF42:AF62,0)</f>
        <v>4</v>
      </c>
      <c r="AG38" s="25" t="s">
        <v>61</v>
      </c>
      <c r="AH38" t="s">
        <v>73</v>
      </c>
      <c r="AJ38">
        <f>MATCH('CLEVIS CALCS'!I45,AF42:AF62,0)</f>
        <v>4</v>
      </c>
      <c r="AK38" t="s">
        <v>75</v>
      </c>
      <c r="AM38">
        <f>MATCH('CLEVIS CALCS'!I52,AF42:AF62,0)</f>
        <v>4</v>
      </c>
      <c r="AN38" t="s">
        <v>79</v>
      </c>
    </row>
    <row r="39" spans="1:47" ht="24.75" customHeight="1" x14ac:dyDescent="0.35">
      <c r="B39" s="8"/>
      <c r="C39" s="8"/>
      <c r="D39" s="8"/>
      <c r="E39" s="8"/>
      <c r="F39" s="40"/>
      <c r="G39" s="40"/>
      <c r="H39" s="40"/>
      <c r="I39" s="40"/>
      <c r="J39" s="8"/>
      <c r="K39" s="49" t="s">
        <v>94</v>
      </c>
      <c r="L39" s="49" t="s">
        <v>95</v>
      </c>
      <c r="M39" s="49" t="s">
        <v>96</v>
      </c>
      <c r="N39" s="40"/>
      <c r="O39" s="40"/>
      <c r="P39" s="40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F39" s="25">
        <f>MATCH('CLEVIS CALCS'!J38,AF42:AF62,0)</f>
        <v>21</v>
      </c>
      <c r="AG39" s="25" t="s">
        <v>61</v>
      </c>
      <c r="AH39" t="s">
        <v>74</v>
      </c>
      <c r="AJ39">
        <f>MATCH('CLEVIS CALCS'!J45,AF42:AF62,0)</f>
        <v>21</v>
      </c>
      <c r="AK39" t="s">
        <v>76</v>
      </c>
      <c r="AM39">
        <f>MATCH('CLEVIS CALCS'!J52,AF42:AF62,0)</f>
        <v>21</v>
      </c>
      <c r="AN39" t="s">
        <v>80</v>
      </c>
    </row>
    <row r="40" spans="1:47" ht="19.5" customHeight="1" x14ac:dyDescent="0.35">
      <c r="D40" s="31"/>
      <c r="E40" s="31"/>
      <c r="F40" s="31"/>
      <c r="G40" s="31"/>
      <c r="I40" s="31"/>
      <c r="J40" s="11"/>
      <c r="K40" s="11"/>
      <c r="N40" s="31"/>
      <c r="O40" s="31"/>
      <c r="P40" s="31"/>
      <c r="Q40" s="31"/>
      <c r="R40" s="31"/>
    </row>
    <row r="41" spans="1:47" ht="18.75" customHeight="1" thickBot="1" x14ac:dyDescent="0.4"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 s="31"/>
      <c r="R41" s="31"/>
      <c r="AG41" s="24" t="s">
        <v>60</v>
      </c>
      <c r="AH41" s="24" t="s">
        <v>59</v>
      </c>
      <c r="AI41" s="24" t="s">
        <v>58</v>
      </c>
      <c r="AJ41" s="24" t="s">
        <v>57</v>
      </c>
      <c r="AK41" s="24" t="s">
        <v>56</v>
      </c>
      <c r="AL41" s="24" t="s">
        <v>55</v>
      </c>
    </row>
    <row r="42" spans="1:47" ht="60" customHeight="1" thickBot="1" x14ac:dyDescent="0.4">
      <c r="B42"/>
      <c r="C42"/>
      <c r="D42" s="60" t="s">
        <v>90</v>
      </c>
      <c r="E42" s="61"/>
      <c r="F42" s="61"/>
      <c r="G42" s="61"/>
      <c r="H42" s="61"/>
      <c r="I42" s="61"/>
      <c r="J42" s="61"/>
      <c r="K42" s="61"/>
      <c r="L42" s="61"/>
      <c r="M42" s="61"/>
      <c r="N42" s="61"/>
      <c r="O42" s="62"/>
      <c r="P42" s="26"/>
      <c r="Q42" s="31"/>
      <c r="R42" s="31"/>
      <c r="AF42" s="24">
        <v>6061</v>
      </c>
      <c r="AG42" s="23">
        <v>45000</v>
      </c>
      <c r="AH42" s="23">
        <v>40000</v>
      </c>
      <c r="AI42" s="23">
        <f t="shared" ref="AI42:AI55" si="0">0.6*AG42</f>
        <v>27000</v>
      </c>
      <c r="AJ42" s="22">
        <v>9.7500000000000003E-2</v>
      </c>
      <c r="AK42" s="23">
        <v>10000000</v>
      </c>
      <c r="AL42" s="23">
        <v>3800000</v>
      </c>
    </row>
    <row r="43" spans="1:47" ht="59.25" customHeight="1" thickBot="1" x14ac:dyDescent="0.4">
      <c r="A43" s="19"/>
      <c r="B43"/>
      <c r="C43"/>
      <c r="D43" s="16" t="s">
        <v>66</v>
      </c>
      <c r="E43" s="16" t="s">
        <v>36</v>
      </c>
      <c r="F43" s="16" t="s">
        <v>109</v>
      </c>
      <c r="G43" s="16" t="s">
        <v>108</v>
      </c>
      <c r="H43" s="16" t="s">
        <v>92</v>
      </c>
      <c r="I43" s="16" t="s">
        <v>89</v>
      </c>
      <c r="J43" s="16" t="s">
        <v>64</v>
      </c>
      <c r="K43" s="16" t="s">
        <v>97</v>
      </c>
      <c r="L43" s="16" t="s">
        <v>98</v>
      </c>
      <c r="M43" s="16" t="s">
        <v>88</v>
      </c>
      <c r="N43" s="16" t="s">
        <v>100</v>
      </c>
      <c r="O43" s="16" t="s">
        <v>99</v>
      </c>
      <c r="P43" s="9"/>
      <c r="Q43" s="31"/>
      <c r="R43" s="31"/>
      <c r="T43" s="52" t="s">
        <v>65</v>
      </c>
      <c r="U43" s="52" t="s">
        <v>77</v>
      </c>
      <c r="AF43" s="24">
        <v>2011</v>
      </c>
      <c r="AG43" s="23">
        <v>55000</v>
      </c>
      <c r="AH43" s="23">
        <v>44000</v>
      </c>
      <c r="AI43" s="23">
        <f t="shared" si="0"/>
        <v>33000</v>
      </c>
      <c r="AJ43" s="22">
        <v>9.7500000000000003E-2</v>
      </c>
      <c r="AK43" s="23">
        <v>10000000</v>
      </c>
      <c r="AL43" s="23">
        <v>3800000</v>
      </c>
    </row>
    <row r="44" spans="1:47" ht="27.75" customHeight="1" thickBot="1" x14ac:dyDescent="0.4">
      <c r="B44"/>
      <c r="C44"/>
      <c r="D44" s="17" t="s">
        <v>18</v>
      </c>
      <c r="E44" s="17" t="s">
        <v>18</v>
      </c>
      <c r="F44" s="17" t="s">
        <v>18</v>
      </c>
      <c r="G44" s="17" t="s">
        <v>18</v>
      </c>
      <c r="H44" s="17" t="s">
        <v>63</v>
      </c>
      <c r="I44" s="56" t="s">
        <v>87</v>
      </c>
      <c r="J44" s="57"/>
      <c r="K44" s="17" t="s">
        <v>62</v>
      </c>
      <c r="L44" s="17" t="s">
        <v>62</v>
      </c>
      <c r="M44" s="17" t="s">
        <v>62</v>
      </c>
      <c r="N44" s="17" t="s">
        <v>91</v>
      </c>
      <c r="O44" s="17" t="s">
        <v>62</v>
      </c>
      <c r="P44" s="9"/>
      <c r="Q44" s="31"/>
      <c r="R44" s="31"/>
      <c r="T44" s="53" t="s">
        <v>46</v>
      </c>
      <c r="U44" s="53" t="s">
        <v>46</v>
      </c>
      <c r="AF44" s="24">
        <v>4140</v>
      </c>
      <c r="AG44" s="23">
        <v>70000</v>
      </c>
      <c r="AH44" s="23">
        <v>60000</v>
      </c>
      <c r="AI44" s="23">
        <f t="shared" si="0"/>
        <v>42000</v>
      </c>
      <c r="AJ44" s="22">
        <v>0.28399999999999997</v>
      </c>
      <c r="AK44" s="23">
        <v>29000000</v>
      </c>
      <c r="AL44" s="23">
        <v>11500000</v>
      </c>
      <c r="AQ44" s="10"/>
      <c r="AR44" s="10"/>
      <c r="AS44" s="10"/>
      <c r="AT44" s="10"/>
      <c r="AU44" s="10"/>
    </row>
    <row r="45" spans="1:47" ht="29.25" customHeight="1" thickBot="1" x14ac:dyDescent="0.4">
      <c r="B45"/>
      <c r="C45"/>
      <c r="D45" s="18">
        <v>1</v>
      </c>
      <c r="E45" s="18">
        <v>0.5</v>
      </c>
      <c r="F45" s="18">
        <v>0.25</v>
      </c>
      <c r="G45" s="18">
        <v>1.5</v>
      </c>
      <c r="H45" s="27">
        <f>AL23-SUM(AL20:AL22)*4</f>
        <v>0.18472156751216806</v>
      </c>
      <c r="I45" s="38" t="s">
        <v>54</v>
      </c>
      <c r="J45" s="38" t="s">
        <v>19</v>
      </c>
      <c r="K45" s="21">
        <f>T45*2*D46*(G46-F46/2)</f>
        <v>24750</v>
      </c>
      <c r="L45" s="21">
        <f>T45*H45</f>
        <v>6649.9764304380506</v>
      </c>
      <c r="M45" s="21">
        <f>((U45*PI()*(F45^2)/4)*2)</f>
        <v>15020.739874976198</v>
      </c>
      <c r="N45" s="48" t="str">
        <f>INDEX(K46:M46,MATCH(O45,K45:M45,0))</f>
        <v>Tensile Failure</v>
      </c>
      <c r="O45" s="48">
        <f>MIN(K45:M45)</f>
        <v>6649.9764304380506</v>
      </c>
      <c r="P45" s="9"/>
      <c r="Q45" s="31"/>
      <c r="R45" s="31"/>
      <c r="T45" s="54">
        <f>INDEX(AH42:AH180,'CLEVIS CALCS'!AJ38)</f>
        <v>36000</v>
      </c>
      <c r="U45" s="54">
        <f>INDEX(AI42:AI180,'CLEVIS CALCS'!AJ39)</f>
        <v>153000</v>
      </c>
      <c r="AF45" s="24" t="s">
        <v>54</v>
      </c>
      <c r="AG45" s="23">
        <v>60000</v>
      </c>
      <c r="AH45" s="23">
        <v>36000</v>
      </c>
      <c r="AI45" s="23">
        <f t="shared" si="0"/>
        <v>36000</v>
      </c>
      <c r="AJ45" s="22">
        <v>0.28399999999999997</v>
      </c>
      <c r="AK45" s="23">
        <v>29000000</v>
      </c>
      <c r="AL45" s="23">
        <v>11500000</v>
      </c>
      <c r="AR45" t="s">
        <v>9</v>
      </c>
    </row>
    <row r="46" spans="1:47" ht="19.5" customHeight="1" x14ac:dyDescent="0.35">
      <c r="B46"/>
      <c r="C46"/>
      <c r="D46" s="50">
        <f>(D45/2)-(E45/2)</f>
        <v>0.25</v>
      </c>
      <c r="E46" s="51">
        <f>2*AL17</f>
        <v>0.8660254037844386</v>
      </c>
      <c r="F46" s="51">
        <f>F45</f>
        <v>0.25</v>
      </c>
      <c r="G46" s="51">
        <f>G45</f>
        <v>1.5</v>
      </c>
      <c r="H46"/>
      <c r="I46" s="9"/>
      <c r="J46"/>
      <c r="K46" s="49" t="s">
        <v>94</v>
      </c>
      <c r="L46" s="49" t="s">
        <v>95</v>
      </c>
      <c r="M46" s="49" t="s">
        <v>96</v>
      </c>
      <c r="N46" s="9"/>
      <c r="O46" s="10"/>
      <c r="P46" s="9"/>
      <c r="Q46" s="31"/>
      <c r="R46" s="31"/>
      <c r="AF46" s="24">
        <v>304</v>
      </c>
      <c r="AG46" s="23">
        <v>73200</v>
      </c>
      <c r="AH46" s="23">
        <v>31200</v>
      </c>
      <c r="AI46" s="23">
        <f t="shared" si="0"/>
        <v>43920</v>
      </c>
      <c r="AJ46" s="22">
        <v>0.28399999999999997</v>
      </c>
      <c r="AK46" s="23">
        <v>29000000</v>
      </c>
      <c r="AL46" s="23">
        <v>10900000</v>
      </c>
      <c r="AR46" s="1" t="s">
        <v>7</v>
      </c>
      <c r="AT46" t="s">
        <v>1</v>
      </c>
      <c r="AU46" t="s">
        <v>15</v>
      </c>
    </row>
    <row r="47" spans="1:47" ht="19.5" customHeight="1" x14ac:dyDescent="0.35">
      <c r="D47" s="31"/>
      <c r="E47" s="31"/>
      <c r="F47" s="31"/>
      <c r="G47" s="31"/>
      <c r="I47" s="31"/>
      <c r="J47" s="11"/>
      <c r="K47" s="11"/>
      <c r="N47" s="31"/>
      <c r="O47" s="31"/>
      <c r="P47" s="31"/>
      <c r="Q47" s="31"/>
      <c r="R47" s="31"/>
      <c r="AF47" s="24">
        <v>1144</v>
      </c>
      <c r="AG47" s="23">
        <v>115000</v>
      </c>
      <c r="AH47" s="23">
        <v>100000</v>
      </c>
      <c r="AI47" s="23">
        <f t="shared" si="0"/>
        <v>69000</v>
      </c>
      <c r="AJ47" s="22">
        <v>0.28399999999999997</v>
      </c>
      <c r="AK47" s="23">
        <v>29000000</v>
      </c>
      <c r="AL47" s="23">
        <v>10900000</v>
      </c>
      <c r="AR47" s="1" t="s">
        <v>5</v>
      </c>
      <c r="AT47" t="s">
        <v>1</v>
      </c>
      <c r="AU47" t="s">
        <v>12</v>
      </c>
    </row>
    <row r="48" spans="1:47" ht="19.5" customHeight="1" thickBot="1" x14ac:dyDescent="0.4">
      <c r="B48"/>
      <c r="C48"/>
      <c r="D48"/>
      <c r="E48"/>
      <c r="F48"/>
      <c r="G48"/>
      <c r="H48"/>
      <c r="I48"/>
      <c r="J48" s="1"/>
      <c r="K48" s="2"/>
      <c r="L48"/>
      <c r="M48"/>
      <c r="N48"/>
      <c r="O48"/>
      <c r="P48" s="9"/>
      <c r="Q48" s="31"/>
      <c r="R48" s="31"/>
      <c r="AF48" s="24" t="s">
        <v>45</v>
      </c>
      <c r="AG48" s="23">
        <v>92000</v>
      </c>
      <c r="AH48" s="23">
        <v>48000</v>
      </c>
      <c r="AI48" s="23">
        <f t="shared" si="0"/>
        <v>55200</v>
      </c>
      <c r="AJ48" s="22">
        <v>0.28399999999999997</v>
      </c>
      <c r="AK48" s="23">
        <v>29000000</v>
      </c>
      <c r="AL48" s="23">
        <v>10900000</v>
      </c>
      <c r="AR48" s="1" t="s">
        <v>17</v>
      </c>
      <c r="AS48" s="8">
        <f>G38-F38/2</f>
        <v>1.25</v>
      </c>
      <c r="AT48" t="s">
        <v>1</v>
      </c>
      <c r="AU48" t="s">
        <v>16</v>
      </c>
    </row>
    <row r="49" spans="2:48" ht="60.75" customHeight="1" thickBot="1" x14ac:dyDescent="0.4">
      <c r="B49"/>
      <c r="C49"/>
      <c r="D49" s="60" t="s">
        <v>10</v>
      </c>
      <c r="E49" s="61"/>
      <c r="F49" s="61"/>
      <c r="G49" s="61"/>
      <c r="H49" s="61"/>
      <c r="I49" s="61"/>
      <c r="J49" s="61"/>
      <c r="K49" s="61"/>
      <c r="L49" s="61"/>
      <c r="M49" s="61"/>
      <c r="N49" s="61"/>
      <c r="O49" s="62"/>
      <c r="P49" s="9"/>
      <c r="Q49" s="31"/>
      <c r="R49" s="31"/>
      <c r="AF49" s="24">
        <v>1018</v>
      </c>
      <c r="AG49" s="23">
        <v>63800</v>
      </c>
      <c r="AH49" s="23">
        <v>53700</v>
      </c>
      <c r="AI49" s="23">
        <f t="shared" si="0"/>
        <v>38280</v>
      </c>
      <c r="AJ49" s="22">
        <v>0.28399999999999997</v>
      </c>
      <c r="AK49" s="23">
        <v>29000000</v>
      </c>
      <c r="AL49" s="23">
        <v>10900000</v>
      </c>
      <c r="AR49" s="1" t="s">
        <v>8</v>
      </c>
      <c r="AT49" t="s">
        <v>1</v>
      </c>
      <c r="AU49" t="s">
        <v>11</v>
      </c>
    </row>
    <row r="50" spans="2:48" ht="54.75" customHeight="1" thickBot="1" x14ac:dyDescent="0.4">
      <c r="B50"/>
      <c r="C50"/>
      <c r="D50" s="16" t="s">
        <v>66</v>
      </c>
      <c r="E50" s="16" t="s">
        <v>67</v>
      </c>
      <c r="F50" s="16" t="s">
        <v>109</v>
      </c>
      <c r="G50" s="16" t="s">
        <v>108</v>
      </c>
      <c r="H50" s="16" t="s">
        <v>92</v>
      </c>
      <c r="I50" s="16" t="s">
        <v>89</v>
      </c>
      <c r="J50" s="16" t="s">
        <v>64</v>
      </c>
      <c r="K50" s="16" t="s">
        <v>97</v>
      </c>
      <c r="L50" s="16" t="s">
        <v>98</v>
      </c>
      <c r="M50" s="16" t="s">
        <v>88</v>
      </c>
      <c r="N50" s="16" t="s">
        <v>100</v>
      </c>
      <c r="O50" s="16" t="s">
        <v>99</v>
      </c>
      <c r="P50" s="9"/>
      <c r="Q50" s="31"/>
      <c r="R50" s="31"/>
      <c r="T50" s="52" t="s">
        <v>65</v>
      </c>
      <c r="U50" s="52" t="s">
        <v>77</v>
      </c>
      <c r="AB50" s="11" t="s">
        <v>13</v>
      </c>
      <c r="AF50" s="24" t="s">
        <v>53</v>
      </c>
      <c r="AG50" s="23">
        <v>32000</v>
      </c>
      <c r="AH50" s="23">
        <v>10000</v>
      </c>
      <c r="AI50" s="23">
        <f t="shared" si="0"/>
        <v>19200</v>
      </c>
      <c r="AJ50" s="22">
        <v>0.32400000000000001</v>
      </c>
      <c r="AK50" s="23">
        <v>16000000</v>
      </c>
      <c r="AL50" s="23">
        <v>6500000</v>
      </c>
      <c r="AR50" s="1" t="s">
        <v>2</v>
      </c>
      <c r="AS50" s="4" t="s">
        <v>22</v>
      </c>
      <c r="AT50" t="s">
        <v>4</v>
      </c>
    </row>
    <row r="51" spans="2:48" ht="30" customHeight="1" thickBot="1" x14ac:dyDescent="0.4">
      <c r="B51"/>
      <c r="C51"/>
      <c r="D51" s="17" t="s">
        <v>18</v>
      </c>
      <c r="E51" s="17" t="s">
        <v>18</v>
      </c>
      <c r="F51" s="17" t="s">
        <v>18</v>
      </c>
      <c r="G51" s="17" t="s">
        <v>18</v>
      </c>
      <c r="H51" s="17" t="s">
        <v>63</v>
      </c>
      <c r="I51" s="56" t="s">
        <v>87</v>
      </c>
      <c r="J51" s="57"/>
      <c r="K51" s="17" t="s">
        <v>62</v>
      </c>
      <c r="L51" s="17" t="s">
        <v>62</v>
      </c>
      <c r="M51" s="17" t="s">
        <v>62</v>
      </c>
      <c r="N51" s="17" t="s">
        <v>91</v>
      </c>
      <c r="O51" s="17" t="s">
        <v>62</v>
      </c>
      <c r="P51" s="9"/>
      <c r="Q51" s="31"/>
      <c r="R51" s="31"/>
      <c r="T51" s="53" t="s">
        <v>46</v>
      </c>
      <c r="U51" s="53" t="s">
        <v>46</v>
      </c>
      <c r="AF51" s="24" t="s">
        <v>52</v>
      </c>
      <c r="AG51" s="23">
        <v>40000</v>
      </c>
      <c r="AH51" s="23">
        <f>0.8*AG51</f>
        <v>32000</v>
      </c>
      <c r="AI51" s="23">
        <f t="shared" si="0"/>
        <v>24000</v>
      </c>
      <c r="AJ51" s="22">
        <v>0.28399999999999997</v>
      </c>
      <c r="AK51" s="23">
        <v>14500000</v>
      </c>
      <c r="AL51" s="23">
        <v>5900000</v>
      </c>
    </row>
    <row r="52" spans="2:48" ht="33" customHeight="1" thickBot="1" x14ac:dyDescent="0.4">
      <c r="B52"/>
      <c r="C52"/>
      <c r="D52" s="18">
        <v>1</v>
      </c>
      <c r="E52" s="18">
        <v>0.5</v>
      </c>
      <c r="F52" s="18">
        <v>0.25</v>
      </c>
      <c r="G52" s="18">
        <v>1.5</v>
      </c>
      <c r="H52" s="27">
        <f>AV18-AV19-AV22</f>
        <v>0.46404862254808621</v>
      </c>
      <c r="I52" s="38" t="s">
        <v>54</v>
      </c>
      <c r="J52" s="38" t="s">
        <v>19</v>
      </c>
      <c r="K52" s="21">
        <f>T52*2*D53*(G53-F53/2)</f>
        <v>24750</v>
      </c>
      <c r="L52" s="21">
        <f>T52*H52</f>
        <v>16705.750411731104</v>
      </c>
      <c r="M52" s="21">
        <f>((U52*PI()*(F52^2)/4)*2)</f>
        <v>15020.739874976198</v>
      </c>
      <c r="N52" s="48" t="str">
        <f>INDEX(K53:M53,MATCH(O52,K52:M52,0))</f>
        <v>Pin Failure</v>
      </c>
      <c r="O52" s="48">
        <f>MIN(K52:M52)</f>
        <v>15020.739874976198</v>
      </c>
      <c r="P52" s="9"/>
      <c r="Q52" s="31"/>
      <c r="T52" s="54">
        <f>INDEX(AH42:AH180,'CLEVIS CALCS'!AM38)</f>
        <v>36000</v>
      </c>
      <c r="U52" s="54">
        <f>INDEX(AI42:AI180,'CLEVIS CALCS'!AM39)</f>
        <v>153000</v>
      </c>
      <c r="AF52" s="24" t="s">
        <v>51</v>
      </c>
      <c r="AG52" s="23">
        <v>35000</v>
      </c>
      <c r="AH52" s="23">
        <v>20000</v>
      </c>
      <c r="AI52" s="23">
        <f t="shared" si="0"/>
        <v>21000</v>
      </c>
      <c r="AJ52" s="22">
        <v>0.30399999999999999</v>
      </c>
      <c r="AK52" s="23">
        <v>14500000</v>
      </c>
      <c r="AL52" s="23">
        <v>6500000</v>
      </c>
      <c r="AQ52" s="55" t="s">
        <v>14</v>
      </c>
      <c r="AR52" s="55"/>
      <c r="AS52" s="6"/>
      <c r="AT52" s="5" t="s">
        <v>3</v>
      </c>
      <c r="AU52" s="3"/>
      <c r="AV52" s="3"/>
    </row>
    <row r="53" spans="2:48" ht="19.5" customHeight="1" x14ac:dyDescent="0.35">
      <c r="B53"/>
      <c r="C53"/>
      <c r="D53" s="50">
        <f>(D52/2)-(E52/2)</f>
        <v>0.25</v>
      </c>
      <c r="E53" s="50"/>
      <c r="F53" s="51">
        <f>F52</f>
        <v>0.25</v>
      </c>
      <c r="G53" s="51">
        <f>G52</f>
        <v>1.5</v>
      </c>
      <c r="H53" s="10"/>
      <c r="I53" s="10"/>
      <c r="J53" s="10"/>
      <c r="K53" s="49" t="s">
        <v>94</v>
      </c>
      <c r="L53" s="49" t="s">
        <v>95</v>
      </c>
      <c r="M53" s="49" t="s">
        <v>96</v>
      </c>
      <c r="N53" s="9"/>
      <c r="O53" s="10"/>
      <c r="P53" s="9"/>
      <c r="Q53" s="31"/>
      <c r="AF53" s="24" t="s">
        <v>50</v>
      </c>
      <c r="AG53" s="23">
        <v>3000</v>
      </c>
      <c r="AH53" s="23">
        <f>0.5*AG53</f>
        <v>1500</v>
      </c>
      <c r="AI53" s="23">
        <f t="shared" si="0"/>
        <v>1800</v>
      </c>
      <c r="AJ53" s="22">
        <v>3.4000000000000002E-2</v>
      </c>
      <c r="AK53" s="22" t="s">
        <v>47</v>
      </c>
      <c r="AL53" s="22" t="s">
        <v>47</v>
      </c>
      <c r="AQ53" s="55"/>
      <c r="AR53" s="55"/>
      <c r="AS53" s="6">
        <f>AS52*4.448222</f>
        <v>0</v>
      </c>
      <c r="AT53" s="5" t="s">
        <v>6</v>
      </c>
    </row>
    <row r="54" spans="2:48" ht="19.5" customHeight="1" x14ac:dyDescent="0.35">
      <c r="D54" s="31"/>
      <c r="E54" s="31"/>
      <c r="F54" s="31"/>
      <c r="G54" s="31"/>
      <c r="H54" s="31"/>
      <c r="I54" s="31"/>
      <c r="J54" s="31"/>
      <c r="K54" s="31"/>
      <c r="N54" s="31"/>
      <c r="O54" s="31"/>
      <c r="P54" s="31"/>
      <c r="AF54" s="24" t="s">
        <v>49</v>
      </c>
      <c r="AG54" s="23">
        <v>6000</v>
      </c>
      <c r="AH54" s="23">
        <f>0.5*AG54</f>
        <v>3000</v>
      </c>
      <c r="AI54" s="23">
        <f t="shared" si="0"/>
        <v>3600</v>
      </c>
      <c r="AJ54" s="22">
        <v>0.05</v>
      </c>
      <c r="AK54" s="22" t="s">
        <v>47</v>
      </c>
      <c r="AL54" s="22" t="s">
        <v>47</v>
      </c>
    </row>
    <row r="55" spans="2:48" ht="19.5" customHeight="1" x14ac:dyDescent="0.35">
      <c r="F55" s="31"/>
      <c r="G55" s="31"/>
      <c r="H55" s="31"/>
      <c r="I55" s="31"/>
      <c r="J55" s="11"/>
      <c r="K55" s="11"/>
      <c r="N55" s="31"/>
      <c r="O55" s="31"/>
      <c r="P55" s="31"/>
      <c r="AF55" s="24" t="s">
        <v>48</v>
      </c>
      <c r="AG55" s="23">
        <v>9000</v>
      </c>
      <c r="AH55" s="23">
        <f>0.5*AG55</f>
        <v>4500</v>
      </c>
      <c r="AI55" s="23">
        <f t="shared" si="0"/>
        <v>5400</v>
      </c>
      <c r="AJ55" s="22">
        <v>4.5999999999999999E-2</v>
      </c>
      <c r="AK55" s="22" t="s">
        <v>47</v>
      </c>
      <c r="AL55" s="22" t="s">
        <v>47</v>
      </c>
    </row>
    <row r="56" spans="2:48" ht="19.5" customHeight="1" x14ac:dyDescent="0.35">
      <c r="B56" s="46"/>
      <c r="C56" s="46"/>
      <c r="F56" s="31"/>
      <c r="G56" s="31"/>
      <c r="H56" s="31"/>
      <c r="I56" s="31"/>
      <c r="J56" s="11"/>
      <c r="K56" s="11"/>
      <c r="N56" s="31"/>
      <c r="O56" s="31"/>
      <c r="P56" s="31"/>
      <c r="AF56" s="24" t="s">
        <v>83</v>
      </c>
      <c r="AG56" s="23"/>
      <c r="AH56" s="23">
        <v>36000</v>
      </c>
      <c r="AI56" s="23">
        <v>36000</v>
      </c>
    </row>
    <row r="57" spans="2:48" ht="19.5" customHeight="1" x14ac:dyDescent="0.35">
      <c r="B57" s="46"/>
      <c r="C57" s="46"/>
      <c r="F57" s="31"/>
      <c r="G57" s="31"/>
      <c r="H57" s="31"/>
      <c r="I57" s="31"/>
      <c r="J57" s="11"/>
      <c r="K57" s="11"/>
      <c r="N57" s="31"/>
      <c r="O57" s="31"/>
      <c r="P57" s="31"/>
      <c r="AF57" s="82" t="s">
        <v>104</v>
      </c>
      <c r="AG57" s="83">
        <v>6500</v>
      </c>
      <c r="AH57" s="83">
        <v>6200</v>
      </c>
      <c r="AI57" s="83">
        <f>0.6*AG57</f>
        <v>3900</v>
      </c>
      <c r="AJ57" s="84">
        <f>(64+86)/2/12/12/12</f>
        <v>4.3402777777777783E-2</v>
      </c>
      <c r="AK57" s="83">
        <v>320000</v>
      </c>
      <c r="AL57" s="83">
        <v>152289.60000000001</v>
      </c>
    </row>
    <row r="58" spans="2:48" ht="19.5" customHeight="1" x14ac:dyDescent="0.35">
      <c r="B58" s="46"/>
      <c r="C58" s="46"/>
      <c r="F58" s="31"/>
      <c r="G58" s="31"/>
      <c r="H58" s="31"/>
      <c r="I58" s="31"/>
      <c r="J58" s="11"/>
      <c r="K58" s="11"/>
      <c r="N58" s="31"/>
      <c r="O58" s="31"/>
      <c r="P58" s="31"/>
      <c r="AF58" s="82" t="s">
        <v>105</v>
      </c>
      <c r="AG58" s="83">
        <v>8383</v>
      </c>
      <c r="AH58" s="83">
        <f>7.3 *1000</f>
        <v>7300</v>
      </c>
      <c r="AI58" s="83">
        <f>0.6*AG58</f>
        <v>5029.8</v>
      </c>
      <c r="AJ58" s="84">
        <f>78/12/12/12</f>
        <v>4.5138888888888888E-2</v>
      </c>
      <c r="AK58" s="83">
        <v>478624</v>
      </c>
      <c r="AL58" s="83">
        <f>0.35*1000000</f>
        <v>350000</v>
      </c>
    </row>
    <row r="59" spans="2:48" ht="19.5" customHeight="1" x14ac:dyDescent="0.35">
      <c r="B59" s="46"/>
      <c r="C59" s="46"/>
      <c r="F59" s="31"/>
      <c r="G59" s="31"/>
      <c r="H59" s="31"/>
      <c r="I59" s="31"/>
      <c r="J59" s="31"/>
      <c r="K59" s="11"/>
      <c r="N59" s="31"/>
      <c r="O59" s="31"/>
      <c r="P59" s="31"/>
      <c r="AF59" s="24" t="s">
        <v>84</v>
      </c>
      <c r="AG59" s="23"/>
      <c r="AH59" s="23">
        <v>57000</v>
      </c>
      <c r="AI59" s="23">
        <v>57000</v>
      </c>
    </row>
    <row r="60" spans="2:48" ht="19.5" customHeight="1" x14ac:dyDescent="0.35">
      <c r="B60" s="46"/>
      <c r="C60" s="46"/>
      <c r="H60" s="31"/>
      <c r="I60" s="31"/>
      <c r="J60" s="31"/>
      <c r="K60" s="11"/>
      <c r="N60" s="31"/>
      <c r="O60" s="31"/>
      <c r="P60" s="31"/>
      <c r="AF60" s="24" t="s">
        <v>85</v>
      </c>
      <c r="AG60" s="23"/>
      <c r="AH60" s="23">
        <v>92000</v>
      </c>
      <c r="AI60" s="23">
        <v>92000</v>
      </c>
    </row>
    <row r="61" spans="2:48" ht="19.5" customHeight="1" x14ac:dyDescent="0.35">
      <c r="B61" s="31"/>
      <c r="C61" s="31"/>
      <c r="H61" s="31"/>
      <c r="I61" s="31"/>
      <c r="J61" s="31"/>
      <c r="K61" s="11"/>
      <c r="N61" s="31"/>
      <c r="O61" s="31"/>
      <c r="P61" s="31"/>
      <c r="AF61" s="24" t="s">
        <v>86</v>
      </c>
      <c r="AG61" s="23"/>
      <c r="AH61" s="23">
        <v>130000</v>
      </c>
      <c r="AI61" s="23">
        <v>130000</v>
      </c>
    </row>
    <row r="62" spans="2:48" ht="19.5" customHeight="1" x14ac:dyDescent="0.35">
      <c r="B62" s="31"/>
      <c r="C62" s="31"/>
      <c r="H62" s="31"/>
      <c r="I62" s="31"/>
      <c r="J62" s="31"/>
      <c r="K62" s="11"/>
      <c r="N62" s="31"/>
      <c r="O62" s="31"/>
      <c r="P62" s="31"/>
      <c r="AF62" s="24" t="s">
        <v>19</v>
      </c>
      <c r="AG62" s="23"/>
      <c r="AH62" s="23">
        <v>153000</v>
      </c>
      <c r="AI62" s="23">
        <v>153000</v>
      </c>
    </row>
    <row r="63" spans="2:48" ht="19.5" customHeight="1" x14ac:dyDescent="0.35">
      <c r="B63" s="31"/>
      <c r="C63" s="31"/>
      <c r="H63" s="31"/>
      <c r="I63" s="31"/>
      <c r="J63" s="31"/>
      <c r="K63" s="11"/>
      <c r="N63" s="31"/>
      <c r="O63" s="31"/>
      <c r="P63" s="31"/>
    </row>
    <row r="64" spans="2:48" ht="19.5" customHeight="1" x14ac:dyDescent="0.35">
      <c r="B64" s="31"/>
      <c r="K64" s="11"/>
      <c r="N64" s="31"/>
      <c r="O64" s="31"/>
      <c r="P64" s="31"/>
      <c r="AB64" s="36"/>
    </row>
    <row r="65" spans="2:16" ht="19.5" customHeight="1" x14ac:dyDescent="0.35">
      <c r="B65" s="31"/>
      <c r="K65" s="11"/>
      <c r="N65" s="31"/>
      <c r="O65" s="31"/>
      <c r="P65" s="31"/>
    </row>
    <row r="66" spans="2:16" ht="19.5" customHeight="1" x14ac:dyDescent="0.35">
      <c r="B66" s="31"/>
      <c r="K66" s="11"/>
      <c r="N66" s="31"/>
      <c r="O66" s="31"/>
      <c r="P66" s="31"/>
    </row>
    <row r="67" spans="2:16" ht="19.5" customHeight="1" x14ac:dyDescent="0.35">
      <c r="B67" s="31"/>
      <c r="C67" s="31"/>
      <c r="K67" s="11"/>
      <c r="L67" s="31"/>
      <c r="N67" s="31"/>
      <c r="O67" s="31"/>
      <c r="P67" s="31"/>
    </row>
    <row r="68" spans="2:16" ht="19.5" customHeight="1" x14ac:dyDescent="0.35">
      <c r="B68" s="31"/>
      <c r="C68" s="31"/>
      <c r="K68" s="32"/>
      <c r="L68" s="32"/>
    </row>
    <row r="69" spans="2:16" ht="19.5" customHeight="1" x14ac:dyDescent="0.35">
      <c r="B69" s="31"/>
      <c r="C69" s="31"/>
      <c r="K69" s="11"/>
    </row>
    <row r="70" spans="2:16" ht="19.5" customHeight="1" x14ac:dyDescent="0.25">
      <c r="J70" s="11"/>
      <c r="K70" s="11"/>
    </row>
    <row r="71" spans="2:16" ht="19.5" customHeight="1" x14ac:dyDescent="0.25">
      <c r="J71" s="11"/>
      <c r="K71" s="11"/>
    </row>
    <row r="72" spans="2:16" ht="19.5" customHeight="1" x14ac:dyDescent="0.25">
      <c r="J72" s="11"/>
      <c r="K72" s="11"/>
    </row>
    <row r="73" spans="2:16" ht="19.5" customHeight="1" x14ac:dyDescent="0.25">
      <c r="J73" s="11"/>
      <c r="K73" s="11"/>
    </row>
    <row r="74" spans="2:16" ht="19.5" customHeight="1" x14ac:dyDescent="0.25">
      <c r="J74" s="11"/>
      <c r="K74" s="11"/>
    </row>
    <row r="75" spans="2:16" ht="19.5" customHeight="1" x14ac:dyDescent="0.25">
      <c r="J75" s="11"/>
      <c r="K75" s="11"/>
    </row>
    <row r="76" spans="2:16" ht="19.5" customHeight="1" x14ac:dyDescent="0.25">
      <c r="J76" s="11"/>
      <c r="K76" s="11"/>
    </row>
    <row r="77" spans="2:16" ht="19.5" customHeight="1" x14ac:dyDescent="0.25">
      <c r="J77" s="11"/>
      <c r="K77" s="11"/>
    </row>
    <row r="78" spans="2:16" ht="19.5" customHeight="1" x14ac:dyDescent="0.25">
      <c r="J78" s="11"/>
      <c r="K78" s="11"/>
    </row>
    <row r="79" spans="2:16" ht="19.5" customHeight="1" x14ac:dyDescent="0.25">
      <c r="J79" s="11"/>
      <c r="K79" s="11"/>
    </row>
    <row r="80" spans="2:16" ht="19.5" customHeight="1" x14ac:dyDescent="0.25">
      <c r="J80" s="11"/>
      <c r="K80" s="11"/>
    </row>
    <row r="81" spans="2:13" ht="19.5" customHeight="1" x14ac:dyDescent="0.25">
      <c r="I81" s="12"/>
      <c r="K81" s="12"/>
      <c r="L81" s="12"/>
    </row>
    <row r="82" spans="2:13" ht="19.5" customHeight="1" x14ac:dyDescent="0.25">
      <c r="I82" s="12"/>
      <c r="K82" s="12"/>
      <c r="L82" s="12"/>
    </row>
    <row r="83" spans="2:13" ht="19.5" customHeight="1" x14ac:dyDescent="0.25">
      <c r="J83" s="11"/>
      <c r="K83" s="11"/>
    </row>
    <row r="84" spans="2:13" ht="19.5" customHeight="1" x14ac:dyDescent="0.25">
      <c r="J84" s="11"/>
      <c r="K84" s="11"/>
    </row>
    <row r="85" spans="2:13" ht="19.5" customHeight="1" x14ac:dyDescent="0.25">
      <c r="J85" s="11"/>
      <c r="K85" s="11"/>
    </row>
    <row r="86" spans="2:13" ht="19.5" customHeight="1" x14ac:dyDescent="0.25">
      <c r="J86" s="11"/>
      <c r="K86" s="11"/>
    </row>
    <row r="87" spans="2:13" ht="19.5" customHeight="1" x14ac:dyDescent="0.25">
      <c r="J87" s="11"/>
      <c r="K87" s="11"/>
    </row>
    <row r="89" spans="2:13" ht="19.5" customHeight="1" x14ac:dyDescent="0.25">
      <c r="B89" s="12"/>
      <c r="C89" s="12"/>
      <c r="J89" s="11"/>
      <c r="K89" s="11"/>
    </row>
    <row r="90" spans="2:13" ht="19.5" customHeight="1" x14ac:dyDescent="0.25">
      <c r="B90" s="12"/>
      <c r="C90" s="12"/>
      <c r="J90" s="11"/>
      <c r="K90" s="11"/>
    </row>
    <row r="91" spans="2:13" ht="19.5" customHeight="1" x14ac:dyDescent="0.25">
      <c r="B91" s="12"/>
      <c r="C91" s="12"/>
      <c r="D91" s="33"/>
    </row>
    <row r="92" spans="2:13" ht="19.5" customHeight="1" x14ac:dyDescent="0.25">
      <c r="B92" s="12"/>
      <c r="C92" s="12"/>
      <c r="D92" s="33"/>
    </row>
    <row r="93" spans="2:13" ht="19.5" customHeight="1" x14ac:dyDescent="0.25">
      <c r="J93" s="34"/>
      <c r="K93" s="11"/>
    </row>
    <row r="94" spans="2:13" ht="19.5" customHeight="1" x14ac:dyDescent="0.25">
      <c r="B94" s="12"/>
      <c r="C94" s="12"/>
      <c r="D94" s="33"/>
      <c r="J94" s="11"/>
      <c r="K94" s="11"/>
    </row>
    <row r="95" spans="2:13" ht="19.5" customHeight="1" x14ac:dyDescent="0.25">
      <c r="B95" s="12"/>
      <c r="C95" s="12"/>
      <c r="D95" s="33"/>
      <c r="L95" s="35"/>
      <c r="M95" s="35"/>
    </row>
    <row r="96" spans="2:13" ht="19.5" customHeight="1" x14ac:dyDescent="0.25">
      <c r="B96" s="12"/>
      <c r="C96" s="12"/>
      <c r="D96" s="33"/>
      <c r="L96" s="35"/>
      <c r="M96" s="35"/>
    </row>
    <row r="97" spans="10:13" ht="19.5" customHeight="1" x14ac:dyDescent="0.25">
      <c r="J97" s="11"/>
      <c r="K97" s="12"/>
      <c r="L97" s="13"/>
      <c r="M97" s="13"/>
    </row>
  </sheetData>
  <sheetProtection password="99E5" sheet="1" objects="1" scenarios="1" selectLockedCells="1"/>
  <mergeCells count="13">
    <mergeCell ref="AQ52:AR53"/>
    <mergeCell ref="I44:J44"/>
    <mergeCell ref="AF13:AT13"/>
    <mergeCell ref="I37:J37"/>
    <mergeCell ref="A13:Q13"/>
    <mergeCell ref="I51:J51"/>
    <mergeCell ref="B14:P14"/>
    <mergeCell ref="D49:O49"/>
    <mergeCell ref="D42:O42"/>
    <mergeCell ref="B16:F24"/>
    <mergeCell ref="D35:O35"/>
    <mergeCell ref="D28:O28"/>
    <mergeCell ref="I30:J30"/>
  </mergeCells>
  <dataValidations disablePrompts="1" count="2">
    <dataValidation type="list" allowBlank="1" showInputMessage="1" showErrorMessage="1" sqref="H61">
      <formula1>$I$60:$I$62</formula1>
    </dataValidation>
    <dataValidation type="list" allowBlank="1" showInputMessage="1" showErrorMessage="1" promptTitle="select a material here" prompt=" " sqref="I38:J38 I31:J31 I45:J45 I52:J52">
      <formula1>$AF$42:$AF$62</formula1>
    </dataValidation>
  </dataValidations>
  <pageMargins left="0.7" right="0.7" top="0.75" bottom="0.75" header="0.3" footer="0.3"/>
  <pageSetup scale="30" orientation="portrait" r:id="rId1"/>
  <colBreaks count="1" manualBreakCount="1">
    <brk id="24" max="1048575" man="1"/>
  </col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CLEVIS CALCS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engineerdog</dc:creator>
  <cp:lastModifiedBy>Michael Graham</cp:lastModifiedBy>
  <dcterms:created xsi:type="dcterms:W3CDTF">2011-01-06T21:53:49Z</dcterms:created>
  <dcterms:modified xsi:type="dcterms:W3CDTF">2015-01-08T16:04:31Z</dcterms:modified>
</cp:coreProperties>
</file>